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285" windowWidth="12120" windowHeight="60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57"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30" authorId="0">
      <text>
        <r>
          <rPr>
            <sz val="8"/>
            <rFont val="Tahoma"/>
            <family val="0"/>
          </rPr>
          <t>Set as half of the projected GBO</t>
        </r>
      </text>
    </comment>
    <comment ref="G33" authorId="0">
      <text>
        <r>
          <rPr>
            <sz val="8"/>
            <rFont val="Tahoma"/>
            <family val="0"/>
          </rPr>
          <t>There was one 10% contingency already in the budget, this is the second 10% unexpected costs estimate that is a standard to add.</t>
        </r>
      </text>
    </comment>
    <comment ref="C33" authorId="0">
      <text>
        <r>
          <rPr>
            <sz val="8"/>
            <rFont val="Tahoma"/>
            <family val="0"/>
          </rPr>
          <t>Budget + completion bond + 2nd contingency = negative cost</t>
        </r>
      </text>
    </comment>
    <comment ref="E33" authorId="0">
      <text>
        <r>
          <rPr>
            <sz val="8"/>
            <rFont val="Tahoma"/>
            <family val="0"/>
          </rPr>
          <t>Completion Bond expense is 6% of budget. 3%  is usually refunded after picture is delivered to the studio.</t>
        </r>
      </text>
    </comment>
    <comment ref="C47" authorId="0">
      <text>
        <r>
          <rPr>
            <sz val="8"/>
            <rFont val="Tahoma"/>
            <family val="0"/>
          </rPr>
          <t>Presales and gap financing comparative to negative cost.  This is what we will secure from bank to produce the picture.</t>
        </r>
      </text>
    </comment>
    <comment ref="C42" authorId="0">
      <text>
        <r>
          <rPr>
            <sz val="8"/>
            <rFont val="Tahoma"/>
            <family val="0"/>
          </rPr>
          <t>Standby LOCs (Letters of Credit)  are bankable to finance pictures production.</t>
        </r>
      </text>
    </comment>
    <comment ref="E45" authorId="0">
      <text>
        <r>
          <rPr>
            <sz val="8"/>
            <rFont val="Tahoma"/>
            <family val="0"/>
          </rPr>
          <t>This amount is missing from pre-sales.
We pre-sell as little as possible, as there is more to earn when selling in the back end.  That is why we engage also some gap financing.</t>
        </r>
      </text>
    </comment>
    <comment ref="A35" authorId="0">
      <text>
        <r>
          <rPr>
            <sz val="8"/>
            <rFont val="Tahoma"/>
            <family val="0"/>
          </rPr>
          <t>Foreign presales are a % of negative cost that changes from time to time.  US Network.TV and Premium.CBL is a set number that rarely changes.</t>
        </r>
      </text>
    </comment>
    <comment ref="C79"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60"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50" authorId="0">
      <text>
        <r>
          <rPr>
            <sz val="8"/>
            <rFont val="Tahoma"/>
            <family val="0"/>
          </rPr>
          <t xml:space="preserve">Prints of the pictures inner negative are made according to the number of movie theatres it is going to be playing at, may make more later.
1,5 KK = 1200 prints </t>
        </r>
      </text>
    </comment>
    <comment ref="D50"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60" authorId="0">
      <text>
        <r>
          <rPr>
            <sz val="8"/>
            <rFont val="Tahoma"/>
            <family val="2"/>
          </rPr>
          <t xml:space="preserve">Video is shared by distributor actually grossing 35% and producer 20% the rest 45% is expenses. </t>
        </r>
      </text>
    </comment>
    <comment ref="E59" authorId="0">
      <text>
        <r>
          <rPr>
            <sz val="8"/>
            <rFont val="Tahoma"/>
            <family val="0"/>
          </rPr>
          <t>Need to offer 60% of total Video and keep 40%</t>
        </r>
      </text>
    </comment>
    <comment ref="D56" authorId="0">
      <text>
        <r>
          <rPr>
            <sz val="8"/>
            <rFont val="Tahoma"/>
            <family val="0"/>
          </rPr>
          <t>Gross Box Office same as Domestic Theatrical</t>
        </r>
      </text>
    </comment>
    <comment ref="F56" authorId="0">
      <text>
        <r>
          <rPr>
            <sz val="8"/>
            <rFont val="Tahoma"/>
            <family val="0"/>
          </rPr>
          <t>Approximately 140% of GBO
Sold as total package -- all rights for certain territory.</t>
        </r>
      </text>
    </comment>
    <comment ref="E56" authorId="0">
      <text>
        <r>
          <rPr>
            <sz val="8"/>
            <rFont val="Tahoma"/>
            <family val="0"/>
          </rPr>
          <t>3 times GBO</t>
        </r>
      </text>
    </comment>
    <comment ref="H56" authorId="0">
      <text>
        <r>
          <rPr>
            <sz val="8"/>
            <rFont val="Tahoma"/>
            <family val="2"/>
          </rPr>
          <t xml:space="preserve">Sound track
Novelisation
Live stage play
Merchandise
Music publishing
Internet
Planes
Ships at sea
Prison systems
Hotels
Computer games
Audio Books
</t>
        </r>
      </text>
    </comment>
    <comment ref="I56" authorId="0">
      <text>
        <r>
          <rPr>
            <sz val="8"/>
            <rFont val="Tahoma"/>
            <family val="0"/>
          </rPr>
          <t>Sequels
Prequels
TV-Spin offs
-- based upon the original work</t>
        </r>
      </text>
    </comment>
    <comment ref="G56" authorId="0">
      <text>
        <r>
          <rPr>
            <sz val="8"/>
            <rFont val="Tahoma"/>
            <family val="0"/>
          </rPr>
          <t>Premium Cable
Network Television
Syndication
Pay Per View</t>
        </r>
      </text>
    </comment>
    <comment ref="E78" authorId="0">
      <text>
        <r>
          <rPr>
            <sz val="8"/>
            <rFont val="Tahoma"/>
            <family val="0"/>
          </rPr>
          <t>Generally not used for calculating gross projections. Use this as a bonus to see the potential, as we don't know yet if we will be selling in many of these media windows.</t>
        </r>
      </text>
    </comment>
    <comment ref="E62" authorId="0">
      <text>
        <r>
          <rPr>
            <sz val="8"/>
            <rFont val="Tahoma"/>
            <family val="0"/>
          </rPr>
          <t>Need to offer 60% of total Video and keep 40%
To do this we keep Blockbuster Video and give away the rest.</t>
        </r>
      </text>
    </comment>
    <comment ref="E63" authorId="0">
      <text>
        <r>
          <rPr>
            <sz val="8"/>
            <rFont val="Tahoma"/>
            <family val="2"/>
          </rPr>
          <t xml:space="preserve">Video is shared by distributor actually grossing 35% and producer 20% the rest 45% is expenses. </t>
        </r>
      </text>
    </comment>
    <comment ref="H62" authorId="0">
      <text>
        <r>
          <rPr>
            <sz val="8"/>
            <rFont val="Tahoma"/>
            <family val="0"/>
          </rPr>
          <t>We receive 65% of total when sold to outside distributor.</t>
        </r>
      </text>
    </comment>
    <comment ref="G62" authorId="0">
      <text>
        <r>
          <rPr>
            <sz val="8"/>
            <rFont val="Tahoma"/>
            <family val="0"/>
          </rPr>
          <t>Syndication rights are sold for 7 years, then sold again for about same amount.
Premium Cable and Network TV are good to pre-sell, Left is syndication.</t>
        </r>
      </text>
    </comment>
    <comment ref="F62" authorId="0">
      <text>
        <r>
          <rPr>
            <sz val="8"/>
            <rFont val="Tahoma"/>
            <family val="0"/>
          </rPr>
          <t xml:space="preserve">Pre-sold foreign rights subtracted from Total foreign gross leaves us with the rest of the foreign territories gross. </t>
        </r>
      </text>
    </comment>
    <comment ref="D62" authorId="0">
      <text>
        <r>
          <rPr>
            <sz val="8"/>
            <rFont val="Tahoma"/>
            <family val="0"/>
          </rPr>
          <t>We give it all to the studio</t>
        </r>
      </text>
    </comment>
    <comment ref="I62" authorId="0">
      <text>
        <r>
          <rPr>
            <sz val="8"/>
            <rFont val="Tahoma"/>
            <family val="0"/>
          </rPr>
          <t>Above-the-Line Participation:
Back-end amount of producers gross reserved for major talent working on the picture</t>
        </r>
      </text>
    </comment>
    <comment ref="F45" authorId="0">
      <text>
        <r>
          <rPr>
            <sz val="8"/>
            <rFont val="Tahoma"/>
            <family val="0"/>
          </rPr>
          <t>The Total Secured Financing should be medium five figure amount larger then Negative Cost. This quotient is a % of negative cost set in i38.</t>
        </r>
      </text>
    </comment>
    <comment ref="G44" authorId="0">
      <text>
        <r>
          <rPr>
            <sz val="8"/>
            <rFont val="Tahoma"/>
            <family val="2"/>
          </rPr>
          <t>Set quotient by budget size:
10-20 KK = 4
20-30 KK = 2,5
30-40 KK = 1,8
40-50 KK = 0,9
50-60 KK = 0,4</t>
        </r>
      </text>
    </comment>
    <comment ref="I32" authorId="0">
      <text>
        <r>
          <rPr>
            <sz val="8"/>
            <rFont val="Tahoma"/>
            <family val="0"/>
          </rPr>
          <t xml:space="preserve">For example the Negative Cost is now 2 times less the gross potential, I am willing to take a bit more risk with this film I raise the budget by a certain %. </t>
        </r>
      </text>
    </comment>
    <comment ref="E44" authorId="0">
      <text>
        <r>
          <rPr>
            <sz val="8"/>
            <rFont val="Tahoma"/>
            <family val="0"/>
          </rPr>
          <t>When the gap is negative, we have pre-sold too much and also there is  no need to engage in gap financing, unless we decide to presell less and have 10-20% of the negative-cost  gap financed.</t>
        </r>
      </text>
    </comment>
    <comment ref="J62" authorId="0">
      <text>
        <r>
          <rPr>
            <sz val="8"/>
            <rFont val="Tahoma"/>
            <family val="2"/>
          </rPr>
          <t>% that is reserver for major talent out of the producers gross</t>
        </r>
      </text>
    </comment>
    <comment ref="C63" authorId="0">
      <text>
        <r>
          <rPr>
            <sz val="8"/>
            <rFont val="Tahoma"/>
            <family val="0"/>
          </rPr>
          <t xml:space="preserve">Producer's Gross
All items on this line +  
1. Product placement earnings
2. 50% Completion Bond return- first timer 40% return
3. Pay back Gap Financing
</t>
        </r>
      </text>
    </comment>
    <comment ref="F59" authorId="0">
      <text>
        <r>
          <rPr>
            <sz val="8"/>
            <rFont val="Tahoma"/>
            <family val="0"/>
          </rPr>
          <t>Production Co. keeps it.</t>
        </r>
      </text>
    </comment>
    <comment ref="G59" authorId="0">
      <text>
        <r>
          <rPr>
            <sz val="8"/>
            <rFont val="Tahoma"/>
            <family val="0"/>
          </rPr>
          <t>Production Co. has presold most, and keeps the rest of the TV rights.</t>
        </r>
      </text>
    </comment>
    <comment ref="H83"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4" authorId="0">
      <text>
        <r>
          <rPr>
            <sz val="8"/>
            <rFont val="Tahoma"/>
            <family val="0"/>
          </rPr>
          <t xml:space="preserve"> You should not change these numbers unless you know for sure!</t>
        </r>
      </text>
    </comment>
    <comment ref="G18" authorId="0">
      <text>
        <r>
          <rPr>
            <sz val="8"/>
            <rFont val="Tahoma"/>
            <family val="0"/>
          </rPr>
          <t>Out of 10 points
Average of line 7 + Talent</t>
        </r>
      </text>
    </comment>
    <comment ref="A18"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5" authorId="0">
      <text>
        <r>
          <rPr>
            <sz val="8"/>
            <rFont val="Tahoma"/>
            <family val="2"/>
          </rPr>
          <t>2 for both sexes</t>
        </r>
        <r>
          <rPr>
            <sz val="8"/>
            <rFont val="Tahoma"/>
            <family val="0"/>
          </rPr>
          <t xml:space="preserve">
</t>
        </r>
      </text>
    </comment>
    <comment ref="D122" authorId="0">
      <text>
        <r>
          <rPr>
            <sz val="8"/>
            <rFont val="Tahoma"/>
            <family val="2"/>
          </rPr>
          <t>2 for both sexes</t>
        </r>
        <r>
          <rPr>
            <sz val="8"/>
            <rFont val="Tahoma"/>
            <family val="0"/>
          </rPr>
          <t xml:space="preserve">
</t>
        </r>
      </text>
    </comment>
    <comment ref="D128" authorId="0">
      <text>
        <r>
          <rPr>
            <sz val="8"/>
            <rFont val="Tahoma"/>
            <family val="2"/>
          </rPr>
          <t>2 for both sexes</t>
        </r>
        <r>
          <rPr>
            <sz val="8"/>
            <rFont val="Tahoma"/>
            <family val="0"/>
          </rPr>
          <t xml:space="preserve">
</t>
        </r>
      </text>
    </comment>
    <comment ref="D131" authorId="0">
      <text>
        <r>
          <rPr>
            <sz val="8"/>
            <rFont val="Tahoma"/>
            <family val="2"/>
          </rPr>
          <t>2 for both sexes</t>
        </r>
        <r>
          <rPr>
            <sz val="8"/>
            <rFont val="Tahoma"/>
            <family val="0"/>
          </rPr>
          <t xml:space="preserve">
</t>
        </r>
      </text>
    </comment>
    <comment ref="D134" authorId="0">
      <text>
        <r>
          <rPr>
            <sz val="8"/>
            <rFont val="Tahoma"/>
            <family val="2"/>
          </rPr>
          <t>2 for both sexes</t>
        </r>
        <r>
          <rPr>
            <sz val="8"/>
            <rFont val="Tahoma"/>
            <family val="0"/>
          </rPr>
          <t xml:space="preserve">
</t>
        </r>
      </text>
    </comment>
    <comment ref="I121" authorId="0">
      <text>
        <r>
          <rPr>
            <sz val="8"/>
            <rFont val="Tahoma"/>
            <family val="0"/>
          </rPr>
          <t>Shows what percentage of this age group would be likely to go see it.  10 = 100 %</t>
        </r>
      </text>
    </comment>
    <comment ref="J121"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1" authorId="0">
      <text>
        <r>
          <rPr>
            <sz val="8"/>
            <rFont val="Tahoma"/>
            <family val="0"/>
          </rPr>
          <t xml:space="preserve">Annual average of movie theater attendance  </t>
        </r>
      </text>
    </comment>
    <comment ref="H121" authorId="0">
      <text>
        <r>
          <rPr>
            <sz val="8"/>
            <rFont val="Tahoma"/>
            <family val="0"/>
          </rPr>
          <t>Size of audience groups in the US
According to family statistics in the US</t>
        </r>
      </text>
    </comment>
    <comment ref="C15" authorId="0">
      <text>
        <r>
          <rPr>
            <sz val="8"/>
            <rFont val="Tahoma"/>
            <family val="0"/>
          </rPr>
          <t>Is it a major acting talent driven picture?
How many A Stars do you have involved? 
1 Star = 5
3 Stars =10</t>
        </r>
      </text>
    </comment>
    <comment ref="G15"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5"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5" authorId="0">
      <text>
        <r>
          <rPr>
            <sz val="8"/>
            <rFont val="Tahoma"/>
            <family val="0"/>
          </rPr>
          <t>Shows what percentage of three major age group would be likely to go see it.  10 = 100 %
Detail below</t>
        </r>
      </text>
    </comment>
    <comment ref="D15" authorId="0">
      <text>
        <r>
          <rPr>
            <sz val="8"/>
            <rFont val="Tahoma"/>
            <family val="0"/>
          </rPr>
          <t>High Concept
Entertainment Power
Page Turner
Details =A85</t>
        </r>
      </text>
    </comment>
    <comment ref="E15" authorId="0">
      <text>
        <r>
          <rPr>
            <sz val="8"/>
            <rFont val="Tahoma"/>
            <family val="0"/>
          </rPr>
          <t>Story / Character Continuity
Story Wholeness
Visible Trailer Spots
Details =A85</t>
        </r>
      </text>
    </comment>
    <comment ref="A80" authorId="0">
      <text>
        <r>
          <rPr>
            <sz val="8"/>
            <rFont val="Tahoma"/>
            <family val="0"/>
          </rPr>
          <t xml:space="preserve">Includes DVD </t>
        </r>
      </text>
    </comment>
    <comment ref="E82" authorId="0">
      <text>
        <r>
          <rPr>
            <sz val="8"/>
            <rFont val="Tahoma"/>
            <family val="0"/>
          </rPr>
          <t>Video on Demand</t>
        </r>
      </text>
    </comment>
    <comment ref="E81" authorId="0">
      <text>
        <r>
          <rPr>
            <sz val="8"/>
            <rFont val="Tahoma"/>
            <family val="0"/>
          </rPr>
          <t>Pay Per View</t>
        </r>
      </text>
    </comment>
    <comment ref="C85" authorId="0">
      <text>
        <r>
          <rPr>
            <sz val="8"/>
            <rFont val="Tahoma"/>
            <family val="0"/>
          </rPr>
          <t>Usually 7 - being cautious here</t>
        </r>
      </text>
    </comment>
    <comment ref="C86" authorId="0">
      <text>
        <r>
          <rPr>
            <sz val="8"/>
            <rFont val="Tahoma"/>
            <family val="0"/>
          </rPr>
          <t>Usually 7 - being cautious here</t>
        </r>
      </text>
    </comment>
    <comment ref="I38" authorId="0">
      <text>
        <r>
          <rPr>
            <sz val="8"/>
            <rFont val="Tahoma"/>
            <family val="0"/>
          </rPr>
          <t>Probably not for another 20 years</t>
        </r>
      </text>
    </comment>
    <comment ref="D35" authorId="0">
      <text>
        <r>
          <rPr>
            <sz val="8"/>
            <rFont val="Tahoma"/>
            <family val="0"/>
          </rPr>
          <t xml:space="preserve">To cancel out a certain area I multiplied it's formula with 0. If you like to use other areas just delete the 0 </t>
        </r>
      </text>
    </comment>
    <comment ref="G108" authorId="0">
      <text>
        <r>
          <rPr>
            <sz val="8"/>
            <rFont val="Tahoma"/>
            <family val="0"/>
          </rPr>
          <t xml:space="preserve">Costumes needs, Accents, Set dressings, props, Set </t>
        </r>
      </text>
    </comment>
    <comment ref="I108" authorId="0">
      <text>
        <r>
          <rPr>
            <sz val="8"/>
            <rFont val="Tahoma"/>
            <family val="0"/>
          </rPr>
          <t>Geographical location for filming.
Does it have to be filmed in authentic distant location to make it work or in difficult situation like under water or in a jungle.</t>
        </r>
      </text>
    </comment>
    <comment ref="E108" authorId="0">
      <text>
        <r>
          <rPr>
            <sz val="8"/>
            <rFont val="Tahoma"/>
            <family val="0"/>
          </rPr>
          <t>Elaborate set construction and miniatures; advanced technology needs</t>
        </r>
      </text>
    </comment>
    <comment ref="C108" authorId="0">
      <text>
        <r>
          <rPr>
            <sz val="8"/>
            <rFont val="Tahoma"/>
            <family val="0"/>
          </rPr>
          <t>CGI (Computer Generated Imagery)</t>
        </r>
      </text>
    </comment>
    <comment ref="A19" authorId="0">
      <text>
        <r>
          <rPr>
            <sz val="8"/>
            <rFont val="Tahoma"/>
            <family val="0"/>
          </rPr>
          <t>Detail on line 90
Special Effects
Technicality
Period
Filming Location</t>
        </r>
      </text>
    </comment>
    <comment ref="D19" authorId="0">
      <text>
        <r>
          <rPr>
            <sz val="8"/>
            <rFont val="Tahoma"/>
            <family val="0"/>
          </rPr>
          <t>Lower is not necessarily better when budget reflects costs objectively. Lower # means just less work.  # from 1-10</t>
        </r>
      </text>
    </comment>
    <comment ref="C49"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1"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1" authorId="0">
      <text>
        <r>
          <rPr>
            <sz val="8"/>
            <rFont val="Tahoma"/>
            <family val="0"/>
          </rPr>
          <t>Merchandising
Toys by movie characters
New technologies
This also boosts the films brand, prior to release.</t>
        </r>
      </text>
    </comment>
    <comment ref="F52" authorId="0">
      <text>
        <r>
          <rPr>
            <sz val="8"/>
            <rFont val="Tahoma"/>
            <family val="0"/>
          </rPr>
          <t>Financed from the production budget for different target audience groups, and foreign markets. Not longer then 30 sec.</t>
        </r>
      </text>
    </comment>
    <comment ref="G52" authorId="0">
      <text>
        <r>
          <rPr>
            <sz val="8"/>
            <rFont val="Tahoma"/>
            <family val="0"/>
          </rPr>
          <t xml:space="preserve">1 min. intro of the picture shown in movie theatres.
Financed, and produced often 6 month in advance of the picture's completion. </t>
        </r>
      </text>
    </comment>
    <comment ref="J52" authorId="0">
      <text>
        <r>
          <rPr>
            <sz val="8"/>
            <rFont val="Tahoma"/>
            <family val="0"/>
          </rPr>
          <t xml:space="preserve">Major motion pictures can increase regions attractiveness and enliven its business.
A Region should do everything 
New Zealand </t>
        </r>
      </text>
    </comment>
    <comment ref="H53"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3" authorId="0">
      <text>
        <r>
          <rPr>
            <sz val="8"/>
            <rFont val="Tahoma"/>
            <family val="0"/>
          </rPr>
          <t>Number shows the amount of appropriate this picture theamed products that  can be created and marketed.</t>
        </r>
      </text>
    </comment>
    <comment ref="G53" authorId="0">
      <text>
        <r>
          <rPr>
            <sz val="8"/>
            <rFont val="Tahoma"/>
            <family val="0"/>
          </rPr>
          <t xml:space="preserve">Scale of projected trailer appeal and trailer budget 
</t>
        </r>
      </text>
    </comment>
    <comment ref="F53"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3" authorId="0">
      <text>
        <r>
          <rPr>
            <sz val="8"/>
            <rFont val="Tahoma"/>
            <family val="0"/>
          </rPr>
          <t>Does it have a positive message, that a town or region would like to attach to. That would be a win win situation.</t>
        </r>
      </text>
    </comment>
    <comment ref="C53" authorId="0">
      <text>
        <r>
          <rPr>
            <sz val="8"/>
            <rFont val="Tahoma"/>
            <family val="0"/>
          </rPr>
          <t>1-10  Average of all marketing areas
P&amp;A x 2 as it is most important in the formula</t>
        </r>
      </text>
    </comment>
    <comment ref="G49"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9" authorId="0">
      <text>
        <r>
          <rPr>
            <sz val="8"/>
            <rFont val="Tahoma"/>
            <family val="0"/>
          </rPr>
          <t>Track-record + trust score in the industry:  
# from 1-10</t>
        </r>
      </text>
    </comment>
    <comment ref="D71" authorId="0">
      <text>
        <r>
          <rPr>
            <sz val="8"/>
            <rFont val="Tahoma"/>
            <family val="0"/>
          </rPr>
          <t>10% of the 50% receipts (as the operation is owned 50/50 by General and Limited Partner) - after  $25,000 operating reserve left for General Partner</t>
        </r>
      </text>
    </comment>
    <comment ref="C71" authorId="0">
      <text>
        <r>
          <rPr>
            <sz val="8"/>
            <rFont val="Tahoma"/>
            <family val="0"/>
          </rPr>
          <t xml:space="preserve">According to 3 picture net the same as projected net of this picture </t>
        </r>
      </text>
    </comment>
    <comment ref="I67"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4" authorId="0">
      <text>
        <r>
          <rPr>
            <sz val="8"/>
            <rFont val="Tahoma"/>
            <family val="0"/>
          </rPr>
          <t>Using now 20% less Production Co. gross and Production Co DDE</t>
        </r>
      </text>
    </comment>
    <comment ref="I9" authorId="0">
      <text>
        <r>
          <rPr>
            <sz val="8"/>
            <rFont val="Tahoma"/>
            <family val="0"/>
          </rPr>
          <t xml:space="preserve">1. www.eagle-i.com
2. www.imdb.com
Are they available to work on this film, or already committed for another picture:
www.exhibitorelations.com </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J2" authorId="0">
      <text>
        <r>
          <rPr>
            <sz val="8"/>
            <rFont val="Tahoma"/>
            <family val="0"/>
          </rPr>
          <t>An estimate - not a bond proven</t>
        </r>
      </text>
    </comment>
    <comment ref="I2" authorId="0">
      <text>
        <r>
          <rPr>
            <sz val="8"/>
            <rFont val="Tahoma"/>
            <family val="2"/>
          </rPr>
          <t>Creative elements detail</t>
        </r>
      </text>
    </comment>
    <comment ref="E90" authorId="0">
      <text>
        <r>
          <rPr>
            <sz val="8"/>
            <rFont val="Tahoma"/>
            <family val="0"/>
          </rPr>
          <t>Non linear -- can not watch the film from beginning to end.</t>
        </r>
      </text>
    </comment>
    <comment ref="E83" authorId="0">
      <text>
        <r>
          <rPr>
            <sz val="8"/>
            <rFont val="Tahoma"/>
            <family val="0"/>
          </rPr>
          <t>Generally under merchandising are also interactive rights -- here they are all separately</t>
        </r>
      </text>
    </comment>
    <comment ref="A67"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86" authorId="0">
      <text>
        <r>
          <rPr>
            <sz val="8"/>
            <rFont val="Tahoma"/>
            <family val="0"/>
          </rPr>
          <t>2 Premium Cable TV systems:
(HBO) Home Box Office -- Cinemax
Showtime -- Movie Channel</t>
        </r>
      </text>
    </comment>
    <comment ref="A85" authorId="0">
      <text>
        <r>
          <rPr>
            <sz val="8"/>
            <rFont val="Tahoma"/>
            <family val="2"/>
          </rPr>
          <t xml:space="preserve">Fox
Warner TV
Paramount TV
Sony TV
4 competing Nets 
</t>
        </r>
      </text>
    </comment>
    <comment ref="A87" authorId="0">
      <text>
        <r>
          <rPr>
            <sz val="8"/>
            <rFont val="Tahoma"/>
            <family val="0"/>
          </rPr>
          <t>Free TV and cable channels: 
USA
TNT
Other smaller ones</t>
        </r>
      </text>
    </comment>
    <comment ref="J59"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49" authorId="0">
      <text>
        <r>
          <rPr>
            <sz val="8"/>
            <rFont val="Tahoma"/>
            <family val="0"/>
          </rPr>
          <t>It most establish brand.</t>
        </r>
      </text>
    </comment>
    <comment ref="I59" authorId="0">
      <text>
        <r>
          <rPr>
            <sz val="8"/>
            <rFont val="Tahoma"/>
            <family val="0"/>
          </rPr>
          <t xml:space="preserve">50% of GBO is what the Studio generally assumed to retains after exhibitor share of 50% of GBO.
</t>
        </r>
      </text>
    </comment>
    <comment ref="D59" authorId="0">
      <text>
        <r>
          <rPr>
            <sz val="8"/>
            <rFont val="Tahoma"/>
            <family val="2"/>
          </rPr>
          <t>after DDE and 35% of GBO which is mostly to pay the  Exhibitors Nut the distributor has left 35% of GBO. 
They keep actually 35% of GBO</t>
        </r>
      </text>
    </comment>
    <comment ref="H59" authorId="0">
      <text>
        <r>
          <rPr>
            <sz val="8"/>
            <rFont val="Tahoma"/>
            <family val="0"/>
          </rPr>
          <t>What is left from rentals and DDE and from 35% of studio D.Th. Gross for Theater Chain (Exhibitor)
Exhibitor nut is usually 50/50 with the studios, but works at 25/75 -- studio getting 75%</t>
        </r>
      </text>
    </comment>
    <comment ref="E21" authorId="0">
      <text>
        <r>
          <rPr>
            <sz val="8"/>
            <rFont val="Tahoma"/>
            <family val="0"/>
          </rPr>
          <t>For accurate response use films that are not older then 5 years. Also avoid extremely successful and failed pictures.</t>
        </r>
      </text>
    </comment>
    <comment ref="K62" authorId="0">
      <text>
        <r>
          <rPr>
            <sz val="8"/>
            <rFont val="Tahoma"/>
            <family val="0"/>
          </rPr>
          <t>Production co. Direct Distribution Expenses --
office, salaries, travel, rent, communication</t>
        </r>
      </text>
    </comment>
    <comment ref="B64" authorId="0">
      <text>
        <r>
          <rPr>
            <sz val="8"/>
            <rFont val="Tahoma"/>
            <family val="0"/>
          </rPr>
          <t>Production Co. Net after taxes and expenses
70% of prod. co. gross</t>
        </r>
      </text>
    </comment>
    <comment ref="A111" authorId="0">
      <text>
        <r>
          <rPr>
            <sz val="8"/>
            <rFont val="Tahoma"/>
            <family val="0"/>
          </rPr>
          <t>Ratings from 1-10</t>
        </r>
      </text>
    </comment>
    <comment ref="I109" authorId="0">
      <text>
        <r>
          <rPr>
            <sz val="8"/>
            <rFont val="Tahoma"/>
            <family val="0"/>
          </rPr>
          <t>10.  Shindler's List
3. It's a Wonderful Life
0. None
1. 
2. Minimal
3. 
4
5. Medium
6.
7.
8.  High
9. 
10. Maximum</t>
        </r>
      </text>
    </comment>
    <comment ref="G109" authorId="0">
      <text>
        <r>
          <rPr>
            <sz val="8"/>
            <rFont val="Tahoma"/>
            <family val="2"/>
          </rPr>
          <t>10.  Amadeus
1. Patch Adams
0. None
1. 
2. Minimal
3. 
4
5. Medium
6.
7.
8.  High
9. 
10. Maximum</t>
        </r>
      </text>
    </comment>
    <comment ref="E109" authorId="0">
      <text>
        <r>
          <rPr>
            <sz val="8"/>
            <rFont val="Tahoma"/>
            <family val="0"/>
          </rPr>
          <t>10.  Water World
2. Waking Ned 1998
0. None
1. 
2. Minimal
3. 
4
5. Medium
6.
7.
8.  High
9. 
10. Maximum</t>
        </r>
      </text>
    </comment>
    <comment ref="C109" authorId="0">
      <text>
        <r>
          <rPr>
            <sz val="8"/>
            <rFont val="Tahoma"/>
            <family val="0"/>
          </rPr>
          <t>10.  The Star Wars. 
1. Howard's End
0. None
1. 
2. Minimal
3. 
4
5. Medium
6.
7.
8.  High
9. 
10. Maximum</t>
        </r>
      </text>
    </comment>
    <comment ref="A13" authorId="0">
      <text>
        <r>
          <rPr>
            <b/>
            <sz val="8"/>
            <rFont val="Tahoma"/>
            <family val="0"/>
          </rPr>
          <t>Jaanus Silla:</t>
        </r>
        <r>
          <rPr>
            <sz val="8"/>
            <rFont val="Tahoma"/>
            <family val="0"/>
          </rPr>
          <t xml:space="preserve">
hoped for, not set</t>
        </r>
      </text>
    </comment>
    <comment ref="F108" authorId="0">
      <text>
        <r>
          <rPr>
            <sz val="8"/>
            <rFont val="Tahoma"/>
            <family val="2"/>
          </rPr>
          <t>Directing Sophistication
Working with children
Working with Animals
Large Crowds
Musicals</t>
        </r>
      </text>
    </comment>
    <comment ref="H108" authorId="0">
      <text>
        <r>
          <rPr>
            <sz val="8"/>
            <rFont val="Tahoma"/>
            <family val="0"/>
          </rPr>
          <t>Stunt needs,
Cast &amp; crew safety</t>
        </r>
      </text>
    </comment>
    <comment ref="D108" authorId="0">
      <text>
        <r>
          <rPr>
            <sz val="8"/>
            <rFont val="Tahoma"/>
            <family val="0"/>
          </rPr>
          <t>Is it a Musical? 
Has Large concerts
Music drives the picture</t>
        </r>
      </text>
    </comment>
    <comment ref="H44" authorId="0">
      <text>
        <r>
          <rPr>
            <sz val="8"/>
            <rFont val="Tahoma"/>
            <family val="0"/>
          </rPr>
          <t>Bank interest - % of accrued interest payable</t>
        </r>
      </text>
    </comment>
    <comment ref="I15"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41"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41"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<sst xmlns="http://schemas.openxmlformats.org/spreadsheetml/2006/main" count="268" uniqueCount="212">
  <si>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</si>
  <si>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</si>
  <si>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</si>
  <si>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</si>
  <si>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</si>
  <si>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</si>
  <si>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</si>
  <si>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</si>
  <si>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</si>
  <si>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</si>
  <si>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</si>
  <si>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</si>
  <si>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</si>
  <si>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</si>
  <si>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</si>
  <si>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</si>
  <si>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</si>
  <si>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</si>
  <si>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</si>
  <si>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</si>
  <si>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</si>
  <si>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</si>
  <si>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</si>
  <si>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</si>
  <si>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</si>
  <si>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</si>
  <si>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</si>
  <si>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</si>
  <si>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</si>
  <si>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</si>
  <si>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</si>
  <si>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</si>
  <si>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</si>
  <si>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</si>
  <si>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</si>
  <si>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</si>
  <si>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</si>
  <si>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</si>
  <si>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</si>
  <si>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</si>
  <si>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</si>
  <si>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</si>
  <si>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</si>
  <si>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</si>
  <si>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</si>
  <si>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</si>
  <si>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</si>
  <si>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</si>
  <si>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</si>
  <si>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</si>
  <si>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</si>
  <si>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</si>
  <si>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</si>
  <si>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</si>
  <si>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</si>
  <si>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</si>
  <si>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</si>
  <si>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</si>
  <si>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</si>
  <si>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</si>
  <si>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</si>
  <si>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</si>
  <si>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</si>
  <si>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</si>
  <si>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</si>
  <si>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</si>
  <si>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</si>
  <si>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</si>
  <si>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</si>
  <si>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</si>
  <si>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</si>
  <si>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</si>
  <si>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</si>
  <si>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</si>
  <si>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r>
      <t xml:space="preserve">      </t>
    </r>
    <r>
      <rPr>
        <b/>
        <sz val="12"/>
        <color indexed="47"/>
        <rFont val="Arial"/>
        <family val="2"/>
      </rPr>
      <t>COVERAGE &amp; CREATIVE BRAKEDOWN</t>
    </r>
  </si>
  <si>
    <t xml:space="preserve">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</si>
  <si>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</si>
  <si>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</si>
  <si>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</si>
  <si>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</si>
  <si>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</si>
  <si>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</si>
  <si>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</si>
  <si>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</si>
  <si>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</si>
  <si>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</si>
  <si>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</si>
  <si>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</si>
  <si>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</si>
  <si>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</si>
  <si>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</si>
  <si>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</si>
  <si>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</si>
  <si>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</si>
  <si>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</si>
  <si>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</si>
  <si>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</si>
  <si>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</si>
  <si>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</si>
  <si>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</si>
  <si>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</si>
  <si>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</si>
  <si>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</si>
  <si>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</si>
  <si>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</si>
  <si>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</si>
  <si>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</si>
  <si>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</si>
  <si>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</si>
  <si>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</si>
  <si>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</si>
  <si>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</si>
  <si>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</si>
  <si>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</si>
  <si>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</si>
  <si>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</si>
  <si>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</si>
  <si>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</si>
  <si>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</si>
  <si>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</si>
  <si>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</si>
  <si>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</si>
  <si>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</si>
  <si>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</si>
  <si>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</si>
  <si>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</si>
  <si>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</si>
  <si>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</si>
  <si>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</si>
  <si>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</si>
  <si>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</si>
  <si>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</si>
  <si>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</si>
  <si>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</si>
  <si>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</si>
  <si>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</si>
  <si>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</si>
  <si>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</si>
  <si>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</si>
  <si>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</si>
  <si>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</si>
  <si>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</si>
  <si>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</si>
  <si>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</si>
  <si>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</si>
  <si>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</si>
  <si>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</si>
  <si>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</si>
  <si>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</si>
  <si>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</si>
  <si>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</si>
  <si>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</si>
  <si>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</si>
  <si>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</si>
  <si>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</si>
  <si>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</si>
  <si>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</si>
  <si>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</si>
  <si>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</si>
  <si>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</si>
  <si>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</si>
  <si>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</si>
  <si>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</si>
  <si>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Total Earnings</t>
  </si>
  <si>
    <t>Recouping initial investment</t>
  </si>
  <si>
    <t xml:space="preserve">Target Audience       </t>
  </si>
  <si>
    <t xml:space="preserve">1st </t>
  </si>
  <si>
    <t xml:space="preserve"> Target Audience </t>
  </si>
  <si>
    <t>2nd</t>
  </si>
  <si>
    <t xml:space="preserve"> Target Audience</t>
  </si>
  <si>
    <t xml:space="preserve">3rd </t>
  </si>
  <si>
    <t>4th</t>
  </si>
  <si>
    <t>5th</t>
  </si>
  <si>
    <t xml:space="preserve">Author(s)                 </t>
  </si>
  <si>
    <t xml:space="preserve">Jaanus Silla </t>
  </si>
  <si>
    <t>4 July</t>
  </si>
  <si>
    <t>Viz</t>
  </si>
  <si>
    <t>Topsheet</t>
  </si>
  <si>
    <t>Team</t>
  </si>
  <si>
    <t>Steven Zallian</t>
  </si>
  <si>
    <t>Directing D.</t>
  </si>
  <si>
    <t>Safety</t>
  </si>
  <si>
    <t>Music</t>
  </si>
  <si>
    <t>Gap %</t>
  </si>
  <si>
    <t>Pay Back</t>
  </si>
  <si>
    <t>Adult</t>
  </si>
  <si>
    <t>Senior</t>
  </si>
  <si>
    <t>Survive</t>
  </si>
  <si>
    <t>Field of Dreams</t>
  </si>
  <si>
    <t>Mystical world beyond / Death / Hope / Teamwork</t>
  </si>
  <si>
    <t xml:space="preserve">Shawshanc Redemption </t>
  </si>
  <si>
    <t>Apollo 13</t>
  </si>
  <si>
    <t>Ghost</t>
  </si>
  <si>
    <t>Phil Alden Robinson</t>
  </si>
  <si>
    <t>Jerry Zucker</t>
  </si>
  <si>
    <t>Frank Darabont</t>
  </si>
  <si>
    <t xml:space="preserve">Adversity / Optimism / Reasons to live / Musical </t>
  </si>
  <si>
    <t xml:space="preserve">Fantasy / Drama / Romance /  Suspense / </t>
  </si>
  <si>
    <t>Idea</t>
  </si>
  <si>
    <t>1998 - 2010</t>
  </si>
  <si>
    <t>Los Angeles, Tallinn</t>
  </si>
  <si>
    <t>Photos</t>
  </si>
  <si>
    <t xml:space="preserve">American family finds themselves on their way from Estonia to  </t>
  </si>
  <si>
    <t xml:space="preserve">Sweden on a sinking ferry.  ''Estonia'' and 1000 people </t>
  </si>
  <si>
    <t xml:space="preserve">are taken to a trip where most can not escape. But there is another </t>
  </si>
  <si>
    <t xml:space="preserve">dimension how the 852 come back from a certain death years </t>
  </si>
  <si>
    <t xml:space="preserve">Survive </t>
  </si>
  <si>
    <t>after the catastrophe.</t>
  </si>
  <si>
    <t>Fantasy Drama</t>
  </si>
  <si>
    <t>Discount</t>
  </si>
  <si>
    <t>Saving W/ H</t>
  </si>
  <si>
    <t xml:space="preserve">        Domestic Presales</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</si>
</sst>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2">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sz val="12"/>
      <color indexed="47"/>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u val="single"/>
      <sz val="10"/>
      <color indexed="12"/>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14"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6" fillId="4" borderId="0" xfId="0" applyFont="1" applyFill="1" applyAlignment="1">
      <alignment horizontal="center"/>
    </xf>
    <xf numFmtId="192" fontId="10" fillId="2" borderId="0" xfId="0" applyNumberFormat="1" applyFont="1" applyFill="1" applyAlignment="1">
      <alignment/>
    </xf>
    <xf numFmtId="192" fontId="17"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6"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8"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5"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0" fontId="0" fillId="6" borderId="0" xfId="0" applyFill="1" applyAlignment="1">
      <alignment horizontal="righ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197" fontId="9" fillId="6" borderId="0" xfId="0" applyNumberFormat="1" applyFont="1" applyFill="1" applyBorder="1" applyAlignment="1">
      <alignment horizontal="center"/>
    </xf>
    <xf numFmtId="197" fontId="9" fillId="6" borderId="0" xfId="0" applyNumberFormat="1" applyFont="1" applyFill="1" applyAlignment="1">
      <alignment horizontal="center"/>
    </xf>
    <xf numFmtId="0" fontId="0" fillId="2" borderId="0" xfId="0" applyFill="1" applyAlignment="1">
      <alignment horizontal="right"/>
    </xf>
    <xf numFmtId="0" fontId="10" fillId="2" borderId="0" xfId="0" applyFont="1" applyFill="1" applyAlignment="1">
      <alignment horizontal="left"/>
    </xf>
    <xf numFmtId="0" fontId="8" fillId="2" borderId="0" xfId="0" applyFont="1" applyFill="1" applyAlignment="1">
      <alignment/>
    </xf>
    <xf numFmtId="192" fontId="11" fillId="5" borderId="3" xfId="0" applyNumberFormat="1" applyFont="1" applyFill="1" applyBorder="1" applyAlignment="1">
      <alignment/>
    </xf>
    <xf numFmtId="0" fontId="4" fillId="6" borderId="0" xfId="0" applyFont="1" applyFill="1" applyAlignment="1">
      <alignment horizontal="center"/>
    </xf>
    <xf numFmtId="0" fontId="4" fillId="5" borderId="0" xfId="0" applyFont="1" applyFill="1" applyAlignment="1">
      <alignment/>
    </xf>
    <xf numFmtId="192" fontId="0" fillId="5" borderId="0" xfId="0" applyNumberFormat="1" applyFont="1" applyFill="1" applyAlignment="1">
      <alignment horizontal="right"/>
    </xf>
    <xf numFmtId="192" fontId="4" fillId="6" borderId="0" xfId="0" applyNumberFormat="1" applyFont="1" applyFill="1" applyAlignment="1">
      <alignment horizontal="right"/>
    </xf>
    <xf numFmtId="192" fontId="4" fillId="6" borderId="0" xfId="0" applyNumberFormat="1" applyFont="1" applyFill="1" applyAlignment="1">
      <alignment/>
    </xf>
    <xf numFmtId="192" fontId="4" fillId="6" borderId="0" xfId="0" applyNumberFormat="1" applyFont="1" applyFill="1" applyAlignment="1">
      <alignment horizontal="center"/>
    </xf>
    <xf numFmtId="178" fontId="4" fillId="6" borderId="0" xfId="0" applyNumberFormat="1" applyFont="1" applyFill="1" applyAlignment="1">
      <alignment horizontal="center"/>
    </xf>
    <xf numFmtId="192" fontId="4" fillId="5" borderId="0" xfId="0" applyNumberFormat="1" applyFont="1" applyFill="1" applyAlignment="1">
      <alignment horizontal="center"/>
    </xf>
    <xf numFmtId="0" fontId="5" fillId="4" borderId="0" xfId="0" applyFont="1" applyFill="1" applyAlignment="1">
      <alignment horizontal="center"/>
    </xf>
    <xf numFmtId="195" fontId="4" fillId="7" borderId="0" xfId="0" applyNumberFormat="1" applyFont="1" applyFill="1" applyAlignment="1">
      <alignment/>
    </xf>
    <xf numFmtId="192" fontId="4" fillId="7" borderId="0" xfId="0" applyNumberFormat="1" applyFont="1" applyFill="1" applyAlignment="1">
      <alignment/>
    </xf>
    <xf numFmtId="192" fontId="4" fillId="5" borderId="0" xfId="0" applyNumberFormat="1" applyFont="1" applyFill="1" applyAlignment="1">
      <alignment/>
    </xf>
    <xf numFmtId="0" fontId="4" fillId="7" borderId="0" xfId="0" applyFont="1" applyFill="1" applyAlignment="1">
      <alignment horizontal="center"/>
    </xf>
    <xf numFmtId="0" fontId="19" fillId="6" borderId="0" xfId="0" applyFont="1" applyFill="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0" fontId="6" fillId="5" borderId="0" xfId="0" applyFont="1" applyFill="1" applyAlignment="1">
      <alignment horizontal="center"/>
    </xf>
    <xf numFmtId="0" fontId="4" fillId="5" borderId="0" xfId="0" applyFont="1" applyFill="1" applyBorder="1" applyAlignment="1">
      <alignment horizontal="center"/>
    </xf>
    <xf numFmtId="0" fontId="8" fillId="6" borderId="0" xfId="0" applyNumberFormat="1" applyFont="1" applyFill="1" applyAlignment="1">
      <alignment/>
    </xf>
    <xf numFmtId="3" fontId="4" fillId="6" borderId="0" xfId="0" applyNumberFormat="1" applyFont="1" applyFill="1" applyAlignment="1">
      <alignment horizontal="left"/>
    </xf>
    <xf numFmtId="0" fontId="4" fillId="6" borderId="0" xfId="0" applyFont="1" applyFill="1" applyBorder="1" applyAlignment="1">
      <alignment horizontal="center"/>
    </xf>
    <xf numFmtId="178" fontId="8" fillId="6" borderId="0" xfId="0" applyNumberFormat="1" applyFont="1" applyFill="1" applyAlignment="1">
      <alignment horizontal="center"/>
    </xf>
    <xf numFmtId="192" fontId="20" fillId="8" borderId="0" xfId="19" applyNumberForma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4"/>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7" width="10.28125" style="0" bestFit="1" customWidth="1"/>
    <col min="8" max="8" width="10.8515625" style="0" bestFit="1" customWidth="1"/>
    <col min="9" max="9" width="12.140625" style="0" customWidth="1"/>
    <col min="10" max="10" width="11.28125" style="0" customWidth="1"/>
    <col min="11" max="11" width="9.8515625" style="0" bestFit="1" customWidth="1"/>
  </cols>
  <sheetData>
    <row r="1" spans="1:13" ht="20.25">
      <c r="A1" s="23" t="s">
        <v>206</v>
      </c>
      <c r="B1" s="1"/>
      <c r="C1" s="1"/>
      <c r="D1" s="1"/>
      <c r="E1" s="1"/>
      <c r="F1" s="46" t="s">
        <v>161</v>
      </c>
      <c r="G1" s="1"/>
      <c r="H1" s="15"/>
      <c r="I1" s="6" t="s">
        <v>129</v>
      </c>
      <c r="J1" s="15"/>
      <c r="K1" s="15"/>
      <c r="L1" s="49"/>
      <c r="M1" s="49"/>
    </row>
    <row r="2" spans="1:13" ht="12.75">
      <c r="A2" s="2"/>
      <c r="B2" s="49"/>
      <c r="C2" s="59"/>
      <c r="D2" s="59"/>
      <c r="E2" s="49"/>
      <c r="F2" s="49"/>
      <c r="G2" s="49"/>
      <c r="H2" s="3" t="s">
        <v>140</v>
      </c>
      <c r="I2" s="3" t="s">
        <v>137</v>
      </c>
      <c r="J2" s="3" t="s">
        <v>4</v>
      </c>
      <c r="K2" s="22"/>
      <c r="L2" s="49"/>
      <c r="M2" s="49"/>
    </row>
    <row r="3" spans="1:13" ht="12.75">
      <c r="A3" s="2" t="s">
        <v>116</v>
      </c>
      <c r="B3" s="49"/>
      <c r="C3" s="59" t="s">
        <v>202</v>
      </c>
      <c r="D3" s="59"/>
      <c r="E3" s="49"/>
      <c r="F3" s="49"/>
      <c r="G3" s="49"/>
      <c r="H3" s="100" t="s">
        <v>139</v>
      </c>
      <c r="I3" s="100" t="s">
        <v>139</v>
      </c>
      <c r="J3" s="100" t="s">
        <v>139</v>
      </c>
      <c r="K3" s="22"/>
      <c r="L3" s="49"/>
      <c r="M3" s="49"/>
    </row>
    <row r="4" spans="1:13" ht="12.75">
      <c r="A4" s="2"/>
      <c r="B4" s="49"/>
      <c r="C4" s="59" t="s">
        <v>203</v>
      </c>
      <c r="D4" s="59"/>
      <c r="E4" s="49"/>
      <c r="F4" s="49"/>
      <c r="G4" s="49"/>
      <c r="H4" s="3" t="s">
        <v>176</v>
      </c>
      <c r="I4" s="3" t="s">
        <v>178</v>
      </c>
      <c r="J4" s="3" t="s">
        <v>177</v>
      </c>
      <c r="K4" s="22"/>
      <c r="L4" s="49"/>
      <c r="M4" s="49"/>
    </row>
    <row r="5" spans="1:13" ht="12.75">
      <c r="A5" s="37" t="s">
        <v>154</v>
      </c>
      <c r="B5" s="49"/>
      <c r="C5" s="59" t="s">
        <v>204</v>
      </c>
      <c r="D5" s="59"/>
      <c r="E5" s="49"/>
      <c r="F5" s="49"/>
      <c r="G5" s="49"/>
      <c r="H5" s="100" t="s">
        <v>201</v>
      </c>
      <c r="I5" s="41" t="s">
        <v>139</v>
      </c>
      <c r="J5" s="41" t="s">
        <v>139</v>
      </c>
      <c r="K5" s="22"/>
      <c r="L5" s="49"/>
      <c r="M5" s="49"/>
    </row>
    <row r="6" spans="1:13" ht="12.75">
      <c r="A6" s="37"/>
      <c r="B6" s="49"/>
      <c r="C6" s="59" t="s">
        <v>205</v>
      </c>
      <c r="D6" s="59"/>
      <c r="E6" s="49"/>
      <c r="F6" s="49"/>
      <c r="G6" s="49"/>
      <c r="H6" s="103"/>
      <c r="I6" s="82"/>
      <c r="J6" s="82"/>
      <c r="K6" s="22"/>
      <c r="L6" s="49"/>
      <c r="M6" s="49"/>
    </row>
    <row r="7" spans="1:13" ht="12.75">
      <c r="A7" s="37"/>
      <c r="B7" s="49"/>
      <c r="C7" s="59" t="s">
        <v>207</v>
      </c>
      <c r="D7" s="59"/>
      <c r="E7" s="49"/>
      <c r="F7" s="49"/>
      <c r="G7" s="49"/>
      <c r="H7" s="103"/>
      <c r="I7" s="82"/>
      <c r="J7" s="82"/>
      <c r="K7" s="22"/>
      <c r="L7" s="49"/>
      <c r="M7" s="49"/>
    </row>
    <row r="8" spans="1:13" ht="15">
      <c r="A8" s="2"/>
      <c r="B8" s="49"/>
      <c r="D8" s="59"/>
      <c r="E8" s="49"/>
      <c r="F8" s="49"/>
      <c r="G8" s="45" t="s">
        <v>72</v>
      </c>
      <c r="H8" s="2" t="s">
        <v>1</v>
      </c>
      <c r="I8" s="1"/>
      <c r="J8" s="1"/>
      <c r="K8" s="22"/>
      <c r="L8" s="49"/>
      <c r="M8" s="49"/>
    </row>
    <row r="9" spans="1:13" ht="12.75">
      <c r="A9" s="2" t="s">
        <v>15</v>
      </c>
      <c r="B9" s="49"/>
      <c r="C9" s="59" t="s">
        <v>197</v>
      </c>
      <c r="D9" s="59"/>
      <c r="E9" s="49"/>
      <c r="F9" s="49"/>
      <c r="G9" s="2"/>
      <c r="H9" s="2"/>
      <c r="I9" s="3" t="s">
        <v>135</v>
      </c>
      <c r="J9" s="3" t="s">
        <v>130</v>
      </c>
      <c r="K9" s="22"/>
      <c r="L9" s="49"/>
      <c r="M9" s="49"/>
    </row>
    <row r="10" spans="1:13" ht="12.75">
      <c r="A10" s="2"/>
      <c r="B10" s="49"/>
      <c r="C10" s="59" t="s">
        <v>196</v>
      </c>
      <c r="D10" s="59"/>
      <c r="E10" s="49"/>
      <c r="F10" s="49"/>
      <c r="G10" s="2" t="s">
        <v>0</v>
      </c>
      <c r="H10" s="2"/>
      <c r="I10" s="83" t="s">
        <v>179</v>
      </c>
      <c r="J10" s="41">
        <v>10</v>
      </c>
      <c r="K10" s="22"/>
      <c r="L10" s="49"/>
      <c r="M10" s="49"/>
    </row>
    <row r="11" spans="1:13" ht="12.75">
      <c r="A11" s="2"/>
      <c r="B11" s="49"/>
      <c r="C11" s="59" t="s">
        <v>189</v>
      </c>
      <c r="D11" s="59"/>
      <c r="E11" s="49"/>
      <c r="F11" s="49"/>
      <c r="G11" s="2"/>
      <c r="H11" s="2"/>
      <c r="I11" s="83" t="s">
        <v>195</v>
      </c>
      <c r="J11" s="41">
        <v>10</v>
      </c>
      <c r="K11" s="22"/>
      <c r="L11" s="49"/>
      <c r="M11" s="49"/>
    </row>
    <row r="12" spans="1:13" ht="12.75">
      <c r="A12" s="2"/>
      <c r="B12" s="49"/>
      <c r="C12" s="59"/>
      <c r="D12" s="59"/>
      <c r="E12" s="49"/>
      <c r="F12" s="49"/>
      <c r="G12" s="2" t="s">
        <v>2</v>
      </c>
      <c r="H12" s="2"/>
      <c r="I12" s="83" t="s">
        <v>194</v>
      </c>
      <c r="J12" s="41">
        <v>10</v>
      </c>
      <c r="K12" s="22"/>
      <c r="L12" s="49"/>
      <c r="M12" s="49"/>
    </row>
    <row r="13" spans="1:13" ht="12.75">
      <c r="A13" s="2" t="s">
        <v>3</v>
      </c>
      <c r="B13" s="50"/>
      <c r="C13" s="41" t="s">
        <v>175</v>
      </c>
      <c r="D13" s="41">
        <v>2005</v>
      </c>
      <c r="E13" s="49"/>
      <c r="F13" s="49"/>
      <c r="G13" s="2"/>
      <c r="H13" s="2"/>
      <c r="I13" s="83" t="s">
        <v>193</v>
      </c>
      <c r="J13" s="41">
        <v>10</v>
      </c>
      <c r="K13" s="22"/>
      <c r="L13" s="49"/>
      <c r="M13" s="49"/>
    </row>
    <row r="14" spans="1:13" ht="12.75">
      <c r="A14" s="2"/>
      <c r="B14" s="49"/>
      <c r="C14" s="49"/>
      <c r="D14" s="49"/>
      <c r="E14" s="49"/>
      <c r="F14" s="49"/>
      <c r="G14" s="49"/>
      <c r="H14" s="49"/>
      <c r="I14" s="56">
        <f>(J122+J125+J128)/3</f>
        <v>9</v>
      </c>
      <c r="J14" s="51">
        <f>ROUND(J15,0)</f>
        <v>10</v>
      </c>
      <c r="K14" s="22"/>
      <c r="L14" s="49"/>
      <c r="M14" s="49"/>
    </row>
    <row r="15" spans="1:13" ht="15.75">
      <c r="A15" s="10" t="s">
        <v>71</v>
      </c>
      <c r="B15" s="49"/>
      <c r="C15" s="3" t="s">
        <v>131</v>
      </c>
      <c r="D15" s="3" t="s">
        <v>101</v>
      </c>
      <c r="E15" s="3" t="s">
        <v>102</v>
      </c>
      <c r="F15" s="3" t="s">
        <v>70</v>
      </c>
      <c r="G15" s="3" t="s">
        <v>69</v>
      </c>
      <c r="H15" s="5" t="s">
        <v>98</v>
      </c>
      <c r="I15" s="3" t="s">
        <v>99</v>
      </c>
      <c r="J15" s="30">
        <f>SUM(J10:J13)/4</f>
        <v>10</v>
      </c>
      <c r="K15" s="22"/>
      <c r="L15" s="49"/>
      <c r="M15" s="49"/>
    </row>
    <row r="16" spans="1:13" ht="12.75">
      <c r="A16" s="2"/>
      <c r="B16" s="49"/>
      <c r="C16" s="99">
        <v>9</v>
      </c>
      <c r="D16" s="51">
        <f>ROUND(D17,0)</f>
        <v>9</v>
      </c>
      <c r="E16" s="51">
        <f>ROUND(E17,0)</f>
        <v>9</v>
      </c>
      <c r="F16" s="99">
        <v>9</v>
      </c>
      <c r="G16" s="99">
        <v>6</v>
      </c>
      <c r="H16" s="51">
        <f>ROUND(I129,0)</f>
        <v>10</v>
      </c>
      <c r="I16" s="51">
        <f>ROUND(I14,0)</f>
        <v>9</v>
      </c>
      <c r="J16" s="52"/>
      <c r="K16" s="22"/>
      <c r="L16" s="49"/>
      <c r="M16" s="49"/>
    </row>
    <row r="17" spans="1:13" ht="13.5" thickBot="1">
      <c r="A17" s="2"/>
      <c r="B17" s="49"/>
      <c r="C17" s="53"/>
      <c r="D17" s="54">
        <f>(D112+D114+D116)/3</f>
        <v>9.333333333333334</v>
      </c>
      <c r="E17" s="54">
        <f>(I112+I114+I116)/3</f>
        <v>9.333333333333334</v>
      </c>
      <c r="F17" s="55"/>
      <c r="G17" s="49"/>
      <c r="H17" s="49"/>
      <c r="I17" s="49"/>
      <c r="J17" s="54">
        <f>(SUM(C16:I16)+J15)/8</f>
        <v>8.875</v>
      </c>
      <c r="K17" s="22"/>
      <c r="L17" s="49"/>
      <c r="M17" s="49"/>
    </row>
    <row r="18" spans="1:13" ht="13.5" thickBot="1">
      <c r="A18" s="2" t="s">
        <v>73</v>
      </c>
      <c r="B18" s="49"/>
      <c r="C18" s="26" t="s">
        <v>103</v>
      </c>
      <c r="D18" s="2"/>
      <c r="E18" s="2"/>
      <c r="F18" s="2"/>
      <c r="G18" s="25">
        <f>ROUND(J17,0)</f>
        <v>9</v>
      </c>
      <c r="H18" s="49"/>
      <c r="I18" s="49"/>
      <c r="J18" s="49"/>
      <c r="K18" s="22"/>
      <c r="L18" s="49"/>
      <c r="M18" s="49"/>
    </row>
    <row r="19" spans="1:13" ht="13.5" thickBot="1">
      <c r="A19" s="2" t="s">
        <v>115</v>
      </c>
      <c r="B19" s="49"/>
      <c r="C19" s="39"/>
      <c r="D19" s="25">
        <f>ROUND(J110,0)</f>
        <v>5</v>
      </c>
      <c r="E19" s="55"/>
      <c r="F19" s="49"/>
      <c r="G19" s="49"/>
      <c r="H19" s="49"/>
      <c r="I19" s="49"/>
      <c r="J19" s="49"/>
      <c r="K19" s="22"/>
      <c r="L19" s="49"/>
      <c r="M19" s="49"/>
    </row>
    <row r="20" spans="1:13" ht="12.75">
      <c r="A20" s="2"/>
      <c r="B20" s="49"/>
      <c r="C20" s="49"/>
      <c r="D20" s="49"/>
      <c r="E20" s="49"/>
      <c r="F20" s="49"/>
      <c r="G20" s="49"/>
      <c r="H20" s="49"/>
      <c r="I20" s="49"/>
      <c r="J20" s="49"/>
      <c r="K20" s="49"/>
      <c r="L20" s="49"/>
      <c r="M20" s="49"/>
    </row>
    <row r="21" spans="1:13" ht="15.75">
      <c r="A21" s="10" t="s">
        <v>67</v>
      </c>
      <c r="B21" s="49"/>
      <c r="C21" s="49"/>
      <c r="D21" s="49"/>
      <c r="E21" s="15"/>
      <c r="F21" s="7" t="s">
        <v>20</v>
      </c>
      <c r="G21" s="15"/>
      <c r="H21" s="49"/>
      <c r="I21" s="1"/>
      <c r="J21" s="1"/>
      <c r="K21" s="1"/>
      <c r="L21" s="49"/>
      <c r="M21" s="49"/>
    </row>
    <row r="22" spans="1:13" ht="12.75">
      <c r="A22" s="2" t="s">
        <v>16</v>
      </c>
      <c r="B22" s="49"/>
      <c r="C22" s="5" t="s">
        <v>190</v>
      </c>
      <c r="D22" s="5"/>
      <c r="E22" s="5"/>
      <c r="F22" s="84">
        <v>28.3</v>
      </c>
      <c r="G22" s="49"/>
      <c r="H22" s="49"/>
      <c r="I22" s="1"/>
      <c r="J22" s="1"/>
      <c r="K22" s="1"/>
      <c r="L22" s="49"/>
      <c r="M22" s="49"/>
    </row>
    <row r="23" spans="1:13" ht="12.75">
      <c r="A23" s="2" t="s">
        <v>17</v>
      </c>
      <c r="B23" s="49"/>
      <c r="C23" s="5" t="s">
        <v>192</v>
      </c>
      <c r="D23" s="5"/>
      <c r="E23" s="5"/>
      <c r="F23" s="84">
        <v>217.6</v>
      </c>
      <c r="G23" s="49"/>
      <c r="H23" s="49"/>
      <c r="I23" s="1"/>
      <c r="J23" s="1"/>
      <c r="K23" s="1"/>
      <c r="L23" s="49"/>
      <c r="M23" s="49"/>
    </row>
    <row r="24" spans="1:13" ht="12.75">
      <c r="A24" s="2"/>
      <c r="B24" s="49"/>
      <c r="C24" s="5" t="s">
        <v>191</v>
      </c>
      <c r="D24" s="5"/>
      <c r="E24" s="5"/>
      <c r="F24" s="84">
        <v>172.1</v>
      </c>
      <c r="G24" s="49"/>
      <c r="H24" s="1"/>
      <c r="I24" s="1"/>
      <c r="J24" s="1"/>
      <c r="K24" s="1"/>
      <c r="L24" s="49"/>
      <c r="M24" s="49"/>
    </row>
    <row r="25" spans="1:13" ht="13.5" thickBot="1">
      <c r="A25" s="1"/>
      <c r="B25" s="49"/>
      <c r="C25" s="5" t="s">
        <v>188</v>
      </c>
      <c r="D25" s="5"/>
      <c r="E25" s="5"/>
      <c r="F25" s="84">
        <v>64.4</v>
      </c>
      <c r="G25" s="49"/>
      <c r="H25" s="1"/>
      <c r="I25" s="1"/>
      <c r="J25" s="1"/>
      <c r="K25" s="1"/>
      <c r="L25" s="49"/>
      <c r="M25" s="49"/>
    </row>
    <row r="26" spans="1:13" ht="13.5" thickBot="1">
      <c r="A26" s="1"/>
      <c r="B26" s="49"/>
      <c r="C26" s="6" t="s">
        <v>128</v>
      </c>
      <c r="D26" s="5"/>
      <c r="E26" s="5"/>
      <c r="F26" s="20">
        <f>SUM(F22:F25)/4</f>
        <v>120.6</v>
      </c>
      <c r="G26" s="49"/>
      <c r="H26" s="1"/>
      <c r="I26" s="1"/>
      <c r="J26" s="1"/>
      <c r="K26" s="1"/>
      <c r="L26" s="49"/>
      <c r="M26" s="49"/>
    </row>
    <row r="27" spans="1:13" ht="12.75">
      <c r="A27" s="1"/>
      <c r="B27" s="49"/>
      <c r="C27" s="49"/>
      <c r="D27" s="49"/>
      <c r="E27" s="49"/>
      <c r="F27" s="58"/>
      <c r="G27" s="49"/>
      <c r="H27" s="49"/>
      <c r="I27" s="49"/>
      <c r="J27" s="49"/>
      <c r="K27" s="49"/>
      <c r="L27" s="49"/>
      <c r="M27" s="49"/>
    </row>
    <row r="28" spans="1:13" ht="15.75">
      <c r="A28" s="10" t="s">
        <v>34</v>
      </c>
      <c r="B28" s="1"/>
      <c r="C28" s="1"/>
      <c r="D28" s="1"/>
      <c r="E28" s="1"/>
      <c r="F28" s="1"/>
      <c r="G28" s="1"/>
      <c r="H28" s="1"/>
      <c r="I28" s="1"/>
      <c r="J28" s="1"/>
      <c r="K28" s="1"/>
      <c r="L28" s="49"/>
      <c r="M28" s="49"/>
    </row>
    <row r="29" spans="1:13" ht="12.75">
      <c r="A29" s="2"/>
      <c r="B29" s="49"/>
      <c r="C29" s="59"/>
      <c r="D29" s="59"/>
      <c r="E29" s="49"/>
      <c r="F29" s="59"/>
      <c r="G29" s="49"/>
      <c r="H29" s="49"/>
      <c r="I29" s="49"/>
      <c r="J29" s="49"/>
      <c r="K29" s="49"/>
      <c r="L29" s="49"/>
      <c r="M29" s="49"/>
    </row>
    <row r="30" spans="1:13" ht="12.75">
      <c r="A30" s="2" t="s">
        <v>4</v>
      </c>
      <c r="B30" s="49"/>
      <c r="C30" s="60">
        <f>(D57/2)</f>
        <v>30.15</v>
      </c>
      <c r="D30" s="49"/>
      <c r="E30" s="49"/>
      <c r="F30" s="61">
        <f>C30*I33</f>
        <v>0</v>
      </c>
      <c r="G30" s="49"/>
      <c r="H30" s="49"/>
      <c r="I30" s="49"/>
      <c r="J30" s="49"/>
      <c r="K30" s="49"/>
      <c r="L30" s="49"/>
      <c r="M30" s="49"/>
    </row>
    <row r="31" spans="1:13" ht="12.75">
      <c r="A31" s="2"/>
      <c r="B31" s="49"/>
      <c r="C31" s="62"/>
      <c r="D31" s="49"/>
      <c r="E31" s="49"/>
      <c r="F31" s="49"/>
      <c r="G31" s="49"/>
      <c r="H31" s="49"/>
      <c r="I31" s="49"/>
      <c r="J31" s="49"/>
      <c r="K31" s="22"/>
      <c r="L31" s="49"/>
      <c r="M31" s="49"/>
    </row>
    <row r="32" spans="1:13" ht="12.75">
      <c r="A32" s="2" t="s">
        <v>5</v>
      </c>
      <c r="B32" s="49"/>
      <c r="C32" s="8" t="s">
        <v>21</v>
      </c>
      <c r="D32" s="5"/>
      <c r="E32" s="3" t="s">
        <v>22</v>
      </c>
      <c r="F32" s="5"/>
      <c r="G32" s="3" t="s">
        <v>23</v>
      </c>
      <c r="H32" s="5"/>
      <c r="I32" s="3" t="s">
        <v>62</v>
      </c>
      <c r="J32" s="49"/>
      <c r="K32" s="22"/>
      <c r="L32" s="49"/>
      <c r="M32" s="49"/>
    </row>
    <row r="33" spans="1:13" ht="12.75">
      <c r="A33" s="2"/>
      <c r="B33" s="49"/>
      <c r="C33" s="19">
        <f>C30+E33+G33+I34</f>
        <v>35.1549</v>
      </c>
      <c r="D33" s="49"/>
      <c r="E33" s="85">
        <f>C30*6/100</f>
        <v>1.8089999999999997</v>
      </c>
      <c r="F33" s="59"/>
      <c r="G33" s="86">
        <f>(C30+E33)*10/100</f>
        <v>3.1959</v>
      </c>
      <c r="H33" s="59"/>
      <c r="I33" s="48">
        <v>0</v>
      </c>
      <c r="J33" s="49"/>
      <c r="K33" s="22"/>
      <c r="L33" s="49"/>
      <c r="M33" s="49"/>
    </row>
    <row r="34" spans="1:13" ht="12.75">
      <c r="A34" s="2"/>
      <c r="B34" s="49"/>
      <c r="C34" s="4"/>
      <c r="D34" s="49"/>
      <c r="E34" s="61">
        <f>E33/2</f>
        <v>0.9044999999999999</v>
      </c>
      <c r="F34" s="63"/>
      <c r="G34" s="49"/>
      <c r="H34" s="49"/>
      <c r="I34" s="14">
        <f>C30*I33/100</f>
        <v>0</v>
      </c>
      <c r="J34" s="49"/>
      <c r="K34" s="22"/>
      <c r="L34" s="49"/>
      <c r="M34" s="49"/>
    </row>
    <row r="35" spans="1:13" ht="12.75">
      <c r="A35" s="2" t="s">
        <v>35</v>
      </c>
      <c r="B35" s="49"/>
      <c r="C35" s="6" t="s">
        <v>109</v>
      </c>
      <c r="D35" s="5"/>
      <c r="E35" s="3" t="s">
        <v>65</v>
      </c>
      <c r="F35" s="9" t="s">
        <v>24</v>
      </c>
      <c r="G35" s="9" t="s">
        <v>27</v>
      </c>
      <c r="H35" s="3" t="s">
        <v>106</v>
      </c>
      <c r="I35" s="3" t="s">
        <v>28</v>
      </c>
      <c r="J35" s="49"/>
      <c r="K35" s="22"/>
      <c r="L35" s="49"/>
      <c r="M35" s="49"/>
    </row>
    <row r="36" spans="1:13" ht="12.75">
      <c r="A36" s="2"/>
      <c r="B36" s="49"/>
      <c r="C36" s="49"/>
      <c r="D36" s="49"/>
      <c r="E36" s="87">
        <f>C33*I84/100</f>
        <v>4.218588</v>
      </c>
      <c r="F36" s="87">
        <f>C33*I88/100</f>
        <v>2.6366175</v>
      </c>
      <c r="G36" s="87">
        <f>C33*I85/100</f>
        <v>3.51549</v>
      </c>
      <c r="H36" s="86">
        <f>C33*I86/100*0</f>
        <v>0</v>
      </c>
      <c r="I36" s="86">
        <f>C33*I87/100</f>
        <v>2.812392</v>
      </c>
      <c r="J36" s="49"/>
      <c r="K36" s="17"/>
      <c r="L36" s="49"/>
      <c r="M36" s="49"/>
    </row>
    <row r="37" spans="1:13" ht="12.75">
      <c r="A37" s="37" t="s">
        <v>154</v>
      </c>
      <c r="B37" s="49"/>
      <c r="C37" s="66"/>
      <c r="D37" s="67"/>
      <c r="E37" s="67">
        <f>E36/10</f>
        <v>0.4218588</v>
      </c>
      <c r="F37" s="67">
        <f>F36/10</f>
        <v>0.26366175</v>
      </c>
      <c r="G37" s="67">
        <f>G36/10</f>
        <v>0.351549</v>
      </c>
      <c r="H37" s="67">
        <f>H36/10</f>
        <v>0</v>
      </c>
      <c r="I37" s="67">
        <f>I36/10</f>
        <v>0.2812392</v>
      </c>
      <c r="J37" s="104"/>
      <c r="K37" s="17"/>
      <c r="L37" s="49"/>
      <c r="M37" s="49"/>
    </row>
    <row r="38" spans="1:13" ht="12.75">
      <c r="A38" s="2"/>
      <c r="B38" s="49"/>
      <c r="C38" s="49"/>
      <c r="D38" s="3" t="s">
        <v>60</v>
      </c>
      <c r="E38" s="3" t="s">
        <v>58</v>
      </c>
      <c r="F38" s="9" t="s">
        <v>59</v>
      </c>
      <c r="G38" s="3" t="s">
        <v>108</v>
      </c>
      <c r="H38" s="3" t="s">
        <v>107</v>
      </c>
      <c r="I38" s="9" t="s">
        <v>61</v>
      </c>
      <c r="J38" s="68"/>
      <c r="K38" s="17"/>
      <c r="L38" s="49"/>
      <c r="M38" s="49"/>
    </row>
    <row r="39" spans="1:13" ht="12.75">
      <c r="A39" s="37" t="s">
        <v>154</v>
      </c>
      <c r="B39" s="49"/>
      <c r="C39" s="49"/>
      <c r="D39" s="86">
        <f>C33*I89/100</f>
        <v>2.4608429999999997</v>
      </c>
      <c r="E39" s="86">
        <f>C33*I93/100</f>
        <v>1.406196</v>
      </c>
      <c r="F39" s="86">
        <f>C33*I90/100</f>
        <v>2.109294</v>
      </c>
      <c r="G39" s="87">
        <f>C33*I91/100*0</f>
        <v>0</v>
      </c>
      <c r="H39" s="87">
        <f>C33*I92/100*0</f>
        <v>0</v>
      </c>
      <c r="I39" s="82" t="s">
        <v>110</v>
      </c>
      <c r="J39" s="68"/>
      <c r="K39" s="17"/>
      <c r="L39" s="49"/>
      <c r="M39" s="49"/>
    </row>
    <row r="40" spans="1:13" ht="12.75">
      <c r="A40" s="2"/>
      <c r="B40" s="49"/>
      <c r="C40" s="63"/>
      <c r="D40" s="101">
        <f>D39/10</f>
        <v>0.24608429999999998</v>
      </c>
      <c r="E40" s="56">
        <f>E39/10</f>
        <v>0.1406196</v>
      </c>
      <c r="F40" s="67">
        <f>F39/10</f>
        <v>0.2109294</v>
      </c>
      <c r="G40" s="56">
        <f>G39/10</f>
        <v>0</v>
      </c>
      <c r="H40" s="67">
        <f>H39/10</f>
        <v>0</v>
      </c>
      <c r="I40" s="104"/>
      <c r="J40" s="68"/>
      <c r="K40" s="17"/>
      <c r="L40" s="49"/>
      <c r="M40" s="49"/>
    </row>
    <row r="41" spans="1:13" ht="12.75">
      <c r="A41" s="2"/>
      <c r="B41" s="49"/>
      <c r="C41" s="8" t="s">
        <v>111</v>
      </c>
      <c r="D41" s="7" t="s">
        <v>209</v>
      </c>
      <c r="E41" s="7" t="s">
        <v>210</v>
      </c>
      <c r="F41" s="34" t="s">
        <v>211</v>
      </c>
      <c r="G41" s="33"/>
      <c r="H41" s="3" t="s">
        <v>25</v>
      </c>
      <c r="I41" s="3" t="s">
        <v>26</v>
      </c>
      <c r="J41" s="68"/>
      <c r="K41" s="17"/>
      <c r="L41" s="49"/>
      <c r="M41" s="49"/>
    </row>
    <row r="42" spans="1:13" ht="12.75">
      <c r="A42" s="2"/>
      <c r="B42" s="49"/>
      <c r="C42" s="18">
        <f>SUM(E36:I36)+D39+E39+F39+G39+H40+H42+I42-D42</f>
        <v>28.443478449999997</v>
      </c>
      <c r="D42" s="73">
        <f>SUM(E37:I37)+SUM(D40:H40)+H43+I43</f>
        <v>4.71594205</v>
      </c>
      <c r="E42" s="86">
        <f>SUM(E37:I37)+SUM(D40:H40)</f>
        <v>1.91594205</v>
      </c>
      <c r="F42" s="63"/>
      <c r="G42" s="63"/>
      <c r="H42" s="88">
        <f>C85</f>
        <v>7</v>
      </c>
      <c r="I42" s="88">
        <f>C86</f>
        <v>7</v>
      </c>
      <c r="J42" s="68"/>
      <c r="K42" s="17"/>
      <c r="L42" s="49"/>
      <c r="M42" s="49"/>
    </row>
    <row r="43" spans="1:13" ht="12.75">
      <c r="A43" s="2"/>
      <c r="B43" s="54">
        <f>1*0</f>
        <v>0</v>
      </c>
      <c r="C43" s="67">
        <v>4</v>
      </c>
      <c r="D43" s="67"/>
      <c r="E43" s="67"/>
      <c r="F43" s="67"/>
      <c r="G43" s="69"/>
      <c r="H43" s="67">
        <f>H42/5</f>
        <v>1.4</v>
      </c>
      <c r="I43" s="67">
        <f>H42/5</f>
        <v>1.4</v>
      </c>
      <c r="J43" s="68"/>
      <c r="K43" s="17"/>
      <c r="L43" s="49"/>
      <c r="M43" s="49"/>
    </row>
    <row r="44" spans="1:13" ht="12.75">
      <c r="A44" s="2" t="s">
        <v>29</v>
      </c>
      <c r="B44" s="49"/>
      <c r="C44" s="12" t="s">
        <v>21</v>
      </c>
      <c r="D44" s="5"/>
      <c r="E44" s="9" t="s">
        <v>57</v>
      </c>
      <c r="F44" s="9" t="s">
        <v>56</v>
      </c>
      <c r="G44" s="13" t="s">
        <v>63</v>
      </c>
      <c r="H44" s="9" t="s">
        <v>183</v>
      </c>
      <c r="I44" s="3" t="s">
        <v>184</v>
      </c>
      <c r="J44" s="68"/>
      <c r="K44" s="17"/>
      <c r="L44" s="49"/>
      <c r="M44" s="49"/>
    </row>
    <row r="45" spans="1:13" ht="12.75">
      <c r="A45" s="2"/>
      <c r="B45" s="49"/>
      <c r="C45" s="18">
        <f>SUM(E45:F45)</f>
        <v>7.09812545</v>
      </c>
      <c r="D45" s="101">
        <f>C45*H45/100+C45</f>
        <v>10.647188175</v>
      </c>
      <c r="E45" s="87">
        <f>C33-C42</f>
        <v>6.711421550000001</v>
      </c>
      <c r="F45" s="87">
        <f>((F26/4)+(E33+G33))*(G45/100)</f>
        <v>0.3867039</v>
      </c>
      <c r="G45" s="48">
        <v>1.1</v>
      </c>
      <c r="H45" s="48">
        <v>50</v>
      </c>
      <c r="I45" s="82">
        <f>ROUND(D45,1)</f>
        <v>10.6</v>
      </c>
      <c r="J45" s="68"/>
      <c r="K45" s="17"/>
      <c r="L45" s="49"/>
      <c r="M45" s="49"/>
    </row>
    <row r="46" spans="1:13" ht="13.5" thickBot="1">
      <c r="A46" s="2"/>
      <c r="B46" s="49"/>
      <c r="C46" s="66"/>
      <c r="D46" s="65"/>
      <c r="E46" s="65"/>
      <c r="F46" s="49"/>
      <c r="G46" s="63"/>
      <c r="H46" s="49"/>
      <c r="I46" s="49"/>
      <c r="J46" s="68"/>
      <c r="K46" s="17"/>
      <c r="L46" s="49"/>
      <c r="M46" s="49"/>
    </row>
    <row r="47" spans="1:13" ht="13.5" thickBot="1">
      <c r="A47" s="2" t="s">
        <v>33</v>
      </c>
      <c r="B47" s="49"/>
      <c r="C47" s="35">
        <f>C42+E45+F45</f>
        <v>35.5416039</v>
      </c>
      <c r="D47" s="65"/>
      <c r="E47" s="65"/>
      <c r="F47" s="65"/>
      <c r="G47" s="63"/>
      <c r="H47" s="49"/>
      <c r="I47" s="49"/>
      <c r="J47" s="68"/>
      <c r="K47" s="17"/>
      <c r="L47" s="49"/>
      <c r="M47" s="49"/>
    </row>
    <row r="48" spans="1:13" ht="12.75">
      <c r="A48" s="2"/>
      <c r="B48" s="49"/>
      <c r="D48" s="49"/>
      <c r="E48" s="49"/>
      <c r="F48" s="49"/>
      <c r="G48" s="49"/>
      <c r="H48" s="63"/>
      <c r="I48" s="68"/>
      <c r="J48" s="68"/>
      <c r="K48" s="17"/>
      <c r="L48" s="49"/>
      <c r="M48" s="49"/>
    </row>
    <row r="49" spans="1:13" ht="15.75">
      <c r="A49" s="10" t="s">
        <v>117</v>
      </c>
      <c r="B49" s="49"/>
      <c r="C49" s="7" t="s">
        <v>118</v>
      </c>
      <c r="D49" s="3" t="s">
        <v>155</v>
      </c>
      <c r="E49" s="3" t="s">
        <v>146</v>
      </c>
      <c r="F49" s="3" t="s">
        <v>147</v>
      </c>
      <c r="G49" s="3" t="s">
        <v>94</v>
      </c>
      <c r="H49" s="49"/>
      <c r="I49" s="49"/>
      <c r="J49" s="22"/>
      <c r="K49" s="17"/>
      <c r="L49" s="49"/>
      <c r="M49" s="49"/>
    </row>
    <row r="50" spans="1:13" ht="12.75">
      <c r="A50" s="2"/>
      <c r="B50" s="49"/>
      <c r="C50" s="18">
        <f>SUM(D50:E50)</f>
        <v>14</v>
      </c>
      <c r="D50" s="89">
        <v>12</v>
      </c>
      <c r="E50" s="87">
        <f>ROUNDUP((F50*1.2/1000),1)</f>
        <v>2</v>
      </c>
      <c r="F50" s="41">
        <v>1600</v>
      </c>
      <c r="G50" s="41">
        <v>10</v>
      </c>
      <c r="H50" s="49"/>
      <c r="I50" s="49"/>
      <c r="J50" s="22"/>
      <c r="K50" s="17"/>
      <c r="L50" s="49"/>
      <c r="M50" s="49"/>
    </row>
    <row r="51" spans="1:13" ht="12.75">
      <c r="A51" s="2"/>
      <c r="B51" s="49"/>
      <c r="C51" s="49"/>
      <c r="D51" s="49"/>
      <c r="E51" s="49"/>
      <c r="F51" s="49"/>
      <c r="G51" s="49"/>
      <c r="H51" s="3" t="s">
        <v>120</v>
      </c>
      <c r="I51" s="40" t="s">
        <v>121</v>
      </c>
      <c r="J51" s="22"/>
      <c r="K51" s="49"/>
      <c r="L51" s="49"/>
      <c r="M51" s="49"/>
    </row>
    <row r="52" spans="1:13" ht="16.5" thickBot="1">
      <c r="A52" s="10"/>
      <c r="B52" s="49"/>
      <c r="C52" s="7" t="s">
        <v>128</v>
      </c>
      <c r="D52" s="3" t="s">
        <v>126</v>
      </c>
      <c r="E52" s="3" t="s">
        <v>127</v>
      </c>
      <c r="F52" s="3" t="s">
        <v>124</v>
      </c>
      <c r="G52" s="3" t="s">
        <v>123</v>
      </c>
      <c r="H52" s="3" t="s">
        <v>119</v>
      </c>
      <c r="I52" s="3" t="s">
        <v>122</v>
      </c>
      <c r="J52" s="44" t="s">
        <v>125</v>
      </c>
      <c r="K52" s="42"/>
      <c r="L52" s="49"/>
      <c r="M52" s="49"/>
    </row>
    <row r="53" spans="1:13" ht="16.5" thickBot="1">
      <c r="A53" s="10"/>
      <c r="B53" s="49"/>
      <c r="C53" s="43">
        <f>ROUND(C54,0)</f>
        <v>9</v>
      </c>
      <c r="D53" s="41">
        <v>80</v>
      </c>
      <c r="E53" s="41">
        <v>8</v>
      </c>
      <c r="F53" s="90">
        <f>ROUND(D53*E53/100,0)</f>
        <v>6</v>
      </c>
      <c r="G53" s="48">
        <v>8</v>
      </c>
      <c r="H53" s="48">
        <v>10</v>
      </c>
      <c r="I53" s="48">
        <v>2</v>
      </c>
      <c r="J53" s="41">
        <v>5</v>
      </c>
      <c r="K53" s="42"/>
      <c r="L53" s="49"/>
      <c r="M53" s="49"/>
    </row>
    <row r="54" spans="1:13" ht="15.75">
      <c r="A54" s="10" t="s">
        <v>30</v>
      </c>
      <c r="B54" s="49"/>
      <c r="C54" s="70">
        <f>(SUM(F53:J53)+(G50*2.2))/6</f>
        <v>8.833333333333334</v>
      </c>
      <c r="D54" s="49"/>
      <c r="E54" s="49"/>
      <c r="F54" s="49"/>
      <c r="G54" s="49"/>
      <c r="H54" s="54">
        <f>H53/10</f>
        <v>1</v>
      </c>
      <c r="I54" s="49"/>
      <c r="J54" s="49"/>
      <c r="K54" s="22"/>
      <c r="L54" s="49"/>
      <c r="M54" s="49"/>
    </row>
    <row r="55" spans="1:13" ht="16.5" thickBot="1">
      <c r="A55" s="10"/>
      <c r="B55" s="49"/>
      <c r="C55" s="49"/>
      <c r="D55" s="49"/>
      <c r="E55" s="49"/>
      <c r="F55" s="49"/>
      <c r="G55" s="49"/>
      <c r="H55" s="49"/>
      <c r="I55" s="49"/>
      <c r="J55" s="49"/>
      <c r="K55" s="22"/>
      <c r="L55" s="49"/>
      <c r="M55" s="49"/>
    </row>
    <row r="56" spans="1:13" ht="12.75">
      <c r="A56" s="2" t="s">
        <v>37</v>
      </c>
      <c r="B56" s="49"/>
      <c r="C56" s="7" t="s">
        <v>21</v>
      </c>
      <c r="D56" s="21" t="s">
        <v>20</v>
      </c>
      <c r="E56" s="3" t="s">
        <v>32</v>
      </c>
      <c r="F56" s="3" t="s">
        <v>40</v>
      </c>
      <c r="G56" s="3" t="s">
        <v>39</v>
      </c>
      <c r="H56" s="3" t="s">
        <v>51</v>
      </c>
      <c r="I56" s="3" t="s">
        <v>38</v>
      </c>
      <c r="J56" s="49"/>
      <c r="K56" s="22"/>
      <c r="L56" s="49"/>
      <c r="M56" s="49"/>
    </row>
    <row r="57" spans="1:13" ht="13.5" thickBot="1">
      <c r="A57" s="2"/>
      <c r="B57" s="49"/>
      <c r="C57" s="34">
        <f>SUM(D57:I57)</f>
        <v>355.22</v>
      </c>
      <c r="D57" s="81">
        <f>F26/2</f>
        <v>60.3</v>
      </c>
      <c r="E57" s="86">
        <f>D57*3</f>
        <v>180.89999999999998</v>
      </c>
      <c r="F57" s="86">
        <f>D57*140/100</f>
        <v>84.42</v>
      </c>
      <c r="G57" s="86">
        <f>H42+I42+C87</f>
        <v>15.5</v>
      </c>
      <c r="H57" s="87">
        <f>SUM(F79:F92)</f>
        <v>14.099999999999996</v>
      </c>
      <c r="I57" s="87">
        <f>SUM(I79:I81)</f>
        <v>0</v>
      </c>
      <c r="J57" s="49"/>
      <c r="K57" s="22"/>
      <c r="L57" s="49"/>
      <c r="M57" s="49"/>
    </row>
    <row r="58" spans="1:13" ht="12.75">
      <c r="A58" s="2"/>
      <c r="B58" s="49"/>
      <c r="C58" s="71"/>
      <c r="D58" s="49"/>
      <c r="E58" s="49"/>
      <c r="F58" s="49"/>
      <c r="G58" s="49"/>
      <c r="H58" s="57"/>
      <c r="I58" s="49"/>
      <c r="J58" s="49"/>
      <c r="K58" s="22"/>
      <c r="L58" s="49"/>
      <c r="M58" s="49"/>
    </row>
    <row r="59" spans="1:13" ht="12.75">
      <c r="A59" s="2" t="s">
        <v>6</v>
      </c>
      <c r="B59" s="49"/>
      <c r="C59" s="12" t="s">
        <v>21</v>
      </c>
      <c r="D59" s="3" t="s">
        <v>31</v>
      </c>
      <c r="E59" s="3" t="s">
        <v>32</v>
      </c>
      <c r="F59" s="3" t="s">
        <v>40</v>
      </c>
      <c r="G59" s="3" t="s">
        <v>39</v>
      </c>
      <c r="H59" s="3" t="s">
        <v>151</v>
      </c>
      <c r="I59" s="3" t="s">
        <v>150</v>
      </c>
      <c r="J59" s="3" t="s">
        <v>148</v>
      </c>
      <c r="K59" s="22"/>
      <c r="L59" s="49"/>
      <c r="M59" s="49"/>
    </row>
    <row r="60" spans="1:13" ht="12.75">
      <c r="A60" s="2"/>
      <c r="B60" s="49"/>
      <c r="C60" s="34">
        <f>SUM(D60:E60)</f>
        <v>84.41999999999999</v>
      </c>
      <c r="D60" s="86">
        <f>(D57*35)/100</f>
        <v>21.105</v>
      </c>
      <c r="E60" s="86">
        <f>C80*35/100</f>
        <v>63.31499999999999</v>
      </c>
      <c r="F60" s="87">
        <f>C42+F63-F57+I42+H42</f>
        <v>0</v>
      </c>
      <c r="G60" s="87">
        <v>0</v>
      </c>
      <c r="H60" s="77">
        <f>ROUND(D57*25/100,1)</f>
        <v>15.1</v>
      </c>
      <c r="I60" s="86">
        <f>ROUND(D57/2,1)</f>
        <v>30.2</v>
      </c>
      <c r="J60" s="76">
        <f>ROUND(C50+(C50*26/100),1)</f>
        <v>17.6</v>
      </c>
      <c r="K60" s="22"/>
      <c r="L60" s="49"/>
      <c r="M60" s="49"/>
    </row>
    <row r="61" spans="1:13" ht="12.75">
      <c r="A61" s="2"/>
      <c r="B61" s="49"/>
      <c r="C61" s="49"/>
      <c r="D61" s="72">
        <f>D57-H60-J60</f>
        <v>27.599999999999994</v>
      </c>
      <c r="E61" s="49"/>
      <c r="F61" s="49"/>
      <c r="G61" s="49"/>
      <c r="H61" s="57"/>
      <c r="I61" s="61">
        <f>SUM(D63:H63)</f>
        <v>88.82152154999999</v>
      </c>
      <c r="J61" s="49"/>
      <c r="L61" s="49"/>
      <c r="M61" s="49"/>
    </row>
    <row r="62" spans="1:13" ht="13.5" thickBot="1">
      <c r="A62" s="2" t="s">
        <v>7</v>
      </c>
      <c r="B62" s="49"/>
      <c r="C62" s="12" t="s">
        <v>21</v>
      </c>
      <c r="D62" s="3" t="s">
        <v>31</v>
      </c>
      <c r="E62" s="3" t="s">
        <v>32</v>
      </c>
      <c r="F62" s="3" t="s">
        <v>40</v>
      </c>
      <c r="G62" s="3" t="s">
        <v>39</v>
      </c>
      <c r="H62" s="3" t="s">
        <v>51</v>
      </c>
      <c r="I62" s="3" t="s">
        <v>36</v>
      </c>
      <c r="J62" s="3" t="s">
        <v>64</v>
      </c>
      <c r="K62" s="3" t="s">
        <v>149</v>
      </c>
      <c r="L62" s="49"/>
      <c r="M62" s="49"/>
    </row>
    <row r="63" spans="1:13" ht="13.5" thickBot="1">
      <c r="A63" s="2"/>
      <c r="B63" s="49"/>
      <c r="C63" s="35">
        <f>I61-I63+H54+E34-I45</f>
        <v>67.69100853299999</v>
      </c>
      <c r="D63" s="86">
        <v>0</v>
      </c>
      <c r="E63" s="86">
        <f>C80*20/100</f>
        <v>36.17999999999999</v>
      </c>
      <c r="F63" s="86">
        <f>F57-C42-H42-I42</f>
        <v>41.97652155</v>
      </c>
      <c r="G63" s="86">
        <f>C87+C85+C86-H42-I42</f>
        <v>1.5</v>
      </c>
      <c r="H63" s="86">
        <f>H57*65/100</f>
        <v>9.164999999999997</v>
      </c>
      <c r="I63" s="73">
        <f>I61*J63/100</f>
        <v>12.435013017</v>
      </c>
      <c r="J63" s="48">
        <v>14</v>
      </c>
      <c r="K63" s="73">
        <f>C63*10/100</f>
        <v>6.769100853299999</v>
      </c>
      <c r="L63" s="49"/>
      <c r="M63" s="49"/>
    </row>
    <row r="64" spans="1:13" ht="12.75">
      <c r="A64" s="47"/>
      <c r="B64" s="64" t="s">
        <v>152</v>
      </c>
      <c r="C64" s="66">
        <f>C63-C65-K63</f>
        <v>47.38370597309999</v>
      </c>
      <c r="D64" s="49"/>
      <c r="E64" s="49"/>
      <c r="F64" s="49"/>
      <c r="G64" s="49"/>
      <c r="H64" s="49"/>
      <c r="I64" s="49"/>
      <c r="J64" s="49"/>
      <c r="K64" s="49"/>
      <c r="L64" s="49"/>
      <c r="M64" s="49"/>
    </row>
    <row r="65" spans="1:13" ht="15.75">
      <c r="A65" s="10" t="s">
        <v>132</v>
      </c>
      <c r="B65" s="49"/>
      <c r="C65" s="54">
        <f>C63*20/100</f>
        <v>13.538201706599999</v>
      </c>
      <c r="D65" s="49"/>
      <c r="E65" s="49"/>
      <c r="F65" s="49"/>
      <c r="G65" s="49"/>
      <c r="H65" s="49"/>
      <c r="I65" s="49"/>
      <c r="J65" s="49"/>
      <c r="K65" s="22"/>
      <c r="L65" s="49"/>
      <c r="M65" s="49"/>
    </row>
    <row r="66" spans="1:13" ht="12.75">
      <c r="A66" s="2"/>
      <c r="B66" s="49"/>
      <c r="C66" s="49"/>
      <c r="D66" s="49"/>
      <c r="E66" s="49"/>
      <c r="F66" s="49"/>
      <c r="G66" s="49"/>
      <c r="H66" s="49"/>
      <c r="I66" s="49"/>
      <c r="J66" s="49"/>
      <c r="K66" s="22"/>
      <c r="L66" s="49"/>
      <c r="M66" s="49"/>
    </row>
    <row r="67" spans="1:13" ht="12.75">
      <c r="A67" s="2" t="s">
        <v>133</v>
      </c>
      <c r="B67" s="49"/>
      <c r="C67" s="2" t="s">
        <v>136</v>
      </c>
      <c r="D67" s="1"/>
      <c r="E67" s="1"/>
      <c r="F67" s="1"/>
      <c r="G67" s="1"/>
      <c r="H67" s="1"/>
      <c r="I67" s="36">
        <v>1</v>
      </c>
      <c r="J67" s="49"/>
      <c r="K67" s="22"/>
      <c r="L67" s="49"/>
      <c r="M67" s="49"/>
    </row>
    <row r="68" spans="1:13" ht="12.75">
      <c r="A68" s="2"/>
      <c r="B68" s="49"/>
      <c r="C68" s="1"/>
      <c r="D68" s="1"/>
      <c r="E68" s="1"/>
      <c r="F68" s="1"/>
      <c r="G68" s="1"/>
      <c r="H68" s="49"/>
      <c r="I68" s="49"/>
      <c r="J68" s="49"/>
      <c r="K68" s="22"/>
      <c r="L68" s="49"/>
      <c r="M68" s="49"/>
    </row>
    <row r="69" spans="1:13" ht="12.75">
      <c r="A69" s="2" t="s">
        <v>145</v>
      </c>
      <c r="B69" s="49"/>
      <c r="C69" s="2" t="s">
        <v>134</v>
      </c>
      <c r="D69" s="1"/>
      <c r="E69" s="1"/>
      <c r="F69" s="1"/>
      <c r="G69" s="36">
        <f>I67*120/100</f>
        <v>1.2</v>
      </c>
      <c r="H69" s="49"/>
      <c r="I69" s="49"/>
      <c r="J69" s="49"/>
      <c r="K69" s="22"/>
      <c r="L69" s="49"/>
      <c r="M69" s="49"/>
    </row>
    <row r="70" spans="1:13" ht="13.5" thickBot="1">
      <c r="A70" s="2"/>
      <c r="B70" s="49"/>
      <c r="C70" s="1"/>
      <c r="D70" s="1"/>
      <c r="E70" s="1"/>
      <c r="F70" s="1"/>
      <c r="G70" s="49"/>
      <c r="H70" s="49"/>
      <c r="I70" s="49"/>
      <c r="J70" s="49"/>
      <c r="K70" s="22"/>
      <c r="L70" s="49"/>
      <c r="M70" s="49"/>
    </row>
    <row r="71" spans="1:13" ht="13.5" thickBot="1">
      <c r="A71" s="2" t="s">
        <v>144</v>
      </c>
      <c r="B71" s="49"/>
      <c r="C71" s="2" t="s">
        <v>156</v>
      </c>
      <c r="D71" s="1"/>
      <c r="E71" s="36">
        <f>(((C64*3)*50/100)/10)-F71</f>
        <v>6.857555895964998</v>
      </c>
      <c r="F71" s="54">
        <v>0.25</v>
      </c>
      <c r="G71" s="79" t="s">
        <v>163</v>
      </c>
      <c r="H71" s="1"/>
      <c r="I71" s="35">
        <f>G69+E71-I67</f>
        <v>7.057555895964997</v>
      </c>
      <c r="J71" s="49"/>
      <c r="K71" s="22"/>
      <c r="L71" s="49"/>
      <c r="M71" s="49"/>
    </row>
    <row r="72" spans="1:13" ht="12.75">
      <c r="A72" s="2"/>
      <c r="B72" s="49"/>
      <c r="C72" s="2"/>
      <c r="D72" s="1"/>
      <c r="E72" s="66"/>
      <c r="F72" s="79" t="s">
        <v>164</v>
      </c>
      <c r="G72" s="1"/>
      <c r="H72" s="1"/>
      <c r="I72" s="18">
        <f>I67</f>
        <v>1</v>
      </c>
      <c r="J72" s="49"/>
      <c r="K72" s="22"/>
      <c r="L72" s="49"/>
      <c r="M72" s="49"/>
    </row>
    <row r="73" spans="1:13" ht="12.75">
      <c r="A73" s="2" t="s">
        <v>143</v>
      </c>
      <c r="B73" s="49"/>
      <c r="C73" s="2" t="s">
        <v>142</v>
      </c>
      <c r="D73" s="1"/>
      <c r="E73" s="105" t="s">
        <v>138</v>
      </c>
      <c r="F73" s="80"/>
      <c r="G73" s="78"/>
      <c r="H73" s="46"/>
      <c r="I73" s="18"/>
      <c r="J73" s="49"/>
      <c r="K73" s="22"/>
      <c r="L73" s="49"/>
      <c r="M73" s="49"/>
    </row>
    <row r="74" spans="1:13" ht="12.75">
      <c r="A74" s="2"/>
      <c r="B74" s="49"/>
      <c r="C74" s="2" t="s">
        <v>141</v>
      </c>
      <c r="D74" s="1"/>
      <c r="E74" s="105" t="s">
        <v>138</v>
      </c>
      <c r="F74" s="80"/>
      <c r="G74" s="1"/>
      <c r="H74" s="46"/>
      <c r="I74" s="18"/>
      <c r="J74" s="49"/>
      <c r="K74" s="22"/>
      <c r="L74" s="49"/>
      <c r="M74" s="49"/>
    </row>
    <row r="75" spans="1:13" ht="12.75">
      <c r="A75" s="2"/>
      <c r="B75" s="49"/>
      <c r="C75" s="49"/>
      <c r="D75" s="49"/>
      <c r="E75" s="49"/>
      <c r="F75" s="49"/>
      <c r="G75" s="49"/>
      <c r="H75" s="49"/>
      <c r="I75" s="49"/>
      <c r="J75" s="49"/>
      <c r="K75" s="22"/>
      <c r="L75" s="49"/>
      <c r="M75" s="49"/>
    </row>
    <row r="76" spans="1:13" ht="15.75">
      <c r="A76" s="10" t="s">
        <v>157</v>
      </c>
      <c r="B76" s="1"/>
      <c r="C76" s="1"/>
      <c r="D76" s="1"/>
      <c r="E76" s="1"/>
      <c r="F76" s="1"/>
      <c r="G76" s="1"/>
      <c r="H76" s="1"/>
      <c r="I76" s="1"/>
      <c r="J76" s="1"/>
      <c r="K76" s="1"/>
      <c r="L76" s="49"/>
      <c r="M76" s="49"/>
    </row>
    <row r="77" spans="1:13" ht="15.75">
      <c r="A77" s="10"/>
      <c r="B77" s="74"/>
      <c r="C77" s="74"/>
      <c r="D77" s="74"/>
      <c r="E77" s="74"/>
      <c r="F77" s="74"/>
      <c r="G77" s="74"/>
      <c r="H77" s="74"/>
      <c r="I77" s="74"/>
      <c r="J77" s="74"/>
      <c r="K77" s="22"/>
      <c r="L77" s="49"/>
      <c r="M77" s="49"/>
    </row>
    <row r="78" spans="1:13" ht="15.75">
      <c r="A78" s="10" t="s">
        <v>49</v>
      </c>
      <c r="B78" s="49"/>
      <c r="C78" s="10" t="s">
        <v>68</v>
      </c>
      <c r="D78" s="49"/>
      <c r="E78" s="10" t="s">
        <v>51</v>
      </c>
      <c r="F78" s="1"/>
      <c r="G78" s="75"/>
      <c r="H78" s="10" t="s">
        <v>55</v>
      </c>
      <c r="I78" s="1"/>
      <c r="J78" s="63"/>
      <c r="K78" s="22"/>
      <c r="L78" s="49"/>
      <c r="M78" s="49"/>
    </row>
    <row r="79" spans="1:13" ht="12.75">
      <c r="A79" s="2" t="s">
        <v>8</v>
      </c>
      <c r="B79" s="1"/>
      <c r="C79" s="16">
        <f>D57</f>
        <v>60.3</v>
      </c>
      <c r="D79" s="63"/>
      <c r="E79" s="2" t="s">
        <v>54</v>
      </c>
      <c r="F79" s="93">
        <v>2.5</v>
      </c>
      <c r="G79" s="49"/>
      <c r="H79" s="2" t="s">
        <v>53</v>
      </c>
      <c r="I79" s="93">
        <v>0</v>
      </c>
      <c r="J79" s="49"/>
      <c r="K79" s="22"/>
      <c r="L79" s="49"/>
      <c r="M79" s="49"/>
    </row>
    <row r="80" spans="1:13" ht="12.75">
      <c r="A80" s="2" t="s">
        <v>9</v>
      </c>
      <c r="B80" s="1"/>
      <c r="C80" s="16">
        <f>C79*3</f>
        <v>180.89999999999998</v>
      </c>
      <c r="D80" s="63"/>
      <c r="E80" s="2" t="s">
        <v>41</v>
      </c>
      <c r="F80" s="93">
        <v>1.6</v>
      </c>
      <c r="G80" s="49"/>
      <c r="H80" s="2" t="s">
        <v>35</v>
      </c>
      <c r="I80" s="93">
        <v>0</v>
      </c>
      <c r="J80" s="49"/>
      <c r="K80" s="22"/>
      <c r="L80" s="49"/>
      <c r="M80" s="49"/>
    </row>
    <row r="81" spans="1:13" ht="12.75">
      <c r="A81" s="2" t="s">
        <v>12</v>
      </c>
      <c r="B81" s="1"/>
      <c r="C81" s="16">
        <f>D57*140/100</f>
        <v>84.42</v>
      </c>
      <c r="D81" s="63"/>
      <c r="E81" s="2" t="s">
        <v>105</v>
      </c>
      <c r="F81" s="93">
        <v>0.8</v>
      </c>
      <c r="G81" s="49"/>
      <c r="H81" s="2" t="s">
        <v>158</v>
      </c>
      <c r="I81" s="93">
        <v>0</v>
      </c>
      <c r="J81" s="49"/>
      <c r="K81" s="22"/>
      <c r="L81" s="49"/>
      <c r="M81" s="49"/>
    </row>
    <row r="82" spans="1:13" ht="12.75">
      <c r="A82" s="2"/>
      <c r="B82" s="1"/>
      <c r="C82" s="32">
        <f>SUM(C79:C81)</f>
        <v>325.62</v>
      </c>
      <c r="D82" s="63"/>
      <c r="E82" s="2" t="s">
        <v>104</v>
      </c>
      <c r="F82" s="93">
        <v>5</v>
      </c>
      <c r="G82" s="49"/>
      <c r="H82" s="49"/>
      <c r="I82" s="71">
        <f>SUM(I79:I81)</f>
        <v>0</v>
      </c>
      <c r="J82" s="49"/>
      <c r="K82" s="22"/>
      <c r="L82" s="49"/>
      <c r="M82" s="49"/>
    </row>
    <row r="83" spans="1:13" ht="15.75">
      <c r="A83" s="2"/>
      <c r="B83" s="49"/>
      <c r="C83" s="1"/>
      <c r="D83" s="63"/>
      <c r="E83" s="2" t="s">
        <v>159</v>
      </c>
      <c r="F83" s="93">
        <v>2.5</v>
      </c>
      <c r="G83" s="49"/>
      <c r="H83" s="10" t="s">
        <v>66</v>
      </c>
      <c r="I83" s="10"/>
      <c r="J83" s="10"/>
      <c r="K83" s="2"/>
      <c r="L83" s="49"/>
      <c r="M83" s="49"/>
    </row>
    <row r="84" spans="1:13" ht="15.75">
      <c r="A84" s="10" t="s">
        <v>50</v>
      </c>
      <c r="B84" s="49"/>
      <c r="C84" s="11"/>
      <c r="D84" s="63"/>
      <c r="E84" s="2" t="s">
        <v>43</v>
      </c>
      <c r="F84" s="93">
        <v>0.4</v>
      </c>
      <c r="G84" s="49"/>
      <c r="H84" s="2" t="s">
        <v>65</v>
      </c>
      <c r="I84" s="94">
        <v>12</v>
      </c>
      <c r="J84" s="49"/>
      <c r="K84" s="22"/>
      <c r="L84" s="49"/>
      <c r="M84" s="49"/>
    </row>
    <row r="85" spans="1:13" ht="12.75">
      <c r="A85" s="2" t="s">
        <v>10</v>
      </c>
      <c r="B85" s="49"/>
      <c r="C85" s="91">
        <v>7</v>
      </c>
      <c r="D85" s="63"/>
      <c r="E85" s="2" t="s">
        <v>48</v>
      </c>
      <c r="F85" s="93">
        <v>0.1</v>
      </c>
      <c r="G85" s="49"/>
      <c r="H85" s="2" t="s">
        <v>27</v>
      </c>
      <c r="I85" s="94">
        <v>10</v>
      </c>
      <c r="J85" s="49"/>
      <c r="K85" s="22"/>
      <c r="L85" s="49"/>
      <c r="M85" s="49"/>
    </row>
    <row r="86" spans="1:13" ht="12.75">
      <c r="A86" s="2" t="s">
        <v>52</v>
      </c>
      <c r="B86" s="49"/>
      <c r="C86" s="91">
        <v>7</v>
      </c>
      <c r="D86" s="63"/>
      <c r="E86" s="2" t="s">
        <v>13</v>
      </c>
      <c r="F86" s="93">
        <v>0.4</v>
      </c>
      <c r="G86" s="49"/>
      <c r="H86" s="2" t="s">
        <v>106</v>
      </c>
      <c r="I86" s="94">
        <v>8</v>
      </c>
      <c r="J86" s="49"/>
      <c r="K86" s="49"/>
      <c r="L86" s="49"/>
      <c r="M86" s="49"/>
    </row>
    <row r="87" spans="1:13" ht="12.75">
      <c r="A87" s="2" t="s">
        <v>11</v>
      </c>
      <c r="B87" s="49"/>
      <c r="C87" s="92">
        <v>1.5</v>
      </c>
      <c r="D87" s="63"/>
      <c r="E87" s="2" t="s">
        <v>45</v>
      </c>
      <c r="F87" s="93">
        <v>0.2</v>
      </c>
      <c r="G87" s="49"/>
      <c r="H87" s="2" t="s">
        <v>28</v>
      </c>
      <c r="I87" s="94">
        <v>8</v>
      </c>
      <c r="J87" s="49"/>
      <c r="K87" s="49"/>
      <c r="L87" s="49"/>
      <c r="M87" s="49"/>
    </row>
    <row r="88" spans="1:13" ht="12.75">
      <c r="A88" s="2"/>
      <c r="B88" s="49"/>
      <c r="C88" s="71">
        <f>SUM(C85:C87)</f>
        <v>15.5</v>
      </c>
      <c r="D88" s="63"/>
      <c r="E88" s="2" t="s">
        <v>46</v>
      </c>
      <c r="F88" s="93">
        <v>0.1</v>
      </c>
      <c r="G88" s="49"/>
      <c r="H88" s="2" t="s">
        <v>24</v>
      </c>
      <c r="I88" s="94">
        <v>7.5</v>
      </c>
      <c r="J88" s="49"/>
      <c r="K88" s="22"/>
      <c r="L88" s="49"/>
      <c r="M88" s="49"/>
    </row>
    <row r="89" spans="1:13" ht="12.75">
      <c r="A89" s="49"/>
      <c r="B89" s="49"/>
      <c r="C89" s="49"/>
      <c r="D89" s="63"/>
      <c r="E89" s="2" t="s">
        <v>47</v>
      </c>
      <c r="F89" s="93">
        <v>0.1</v>
      </c>
      <c r="G89" s="49"/>
      <c r="H89" s="2" t="s">
        <v>60</v>
      </c>
      <c r="I89" s="94">
        <v>7</v>
      </c>
      <c r="J89" s="49"/>
      <c r="K89" s="22"/>
      <c r="L89" s="49"/>
      <c r="M89" s="49"/>
    </row>
    <row r="90" spans="1:13" ht="12.75">
      <c r="A90" s="49"/>
      <c r="B90" s="49"/>
      <c r="C90" s="49"/>
      <c r="D90" s="63"/>
      <c r="E90" s="2" t="s">
        <v>44</v>
      </c>
      <c r="F90" s="93">
        <v>0.1</v>
      </c>
      <c r="G90" s="49"/>
      <c r="H90" s="2" t="s">
        <v>59</v>
      </c>
      <c r="I90" s="94">
        <v>6</v>
      </c>
      <c r="J90" s="49"/>
      <c r="K90" s="22"/>
      <c r="L90" s="49"/>
      <c r="M90" s="49"/>
    </row>
    <row r="91" spans="1:13" ht="12.75">
      <c r="A91" s="22"/>
      <c r="B91" s="22"/>
      <c r="C91" s="22"/>
      <c r="D91" s="63"/>
      <c r="E91" s="2" t="s">
        <v>14</v>
      </c>
      <c r="F91" s="93">
        <v>0.1</v>
      </c>
      <c r="G91" s="49"/>
      <c r="H91" s="2" t="s">
        <v>108</v>
      </c>
      <c r="I91" s="94">
        <v>5</v>
      </c>
      <c r="J91" s="49"/>
      <c r="K91" s="22"/>
      <c r="L91" s="49"/>
      <c r="M91" s="49"/>
    </row>
    <row r="92" spans="1:13" ht="12.75">
      <c r="A92" s="24"/>
      <c r="B92" s="24"/>
      <c r="C92" s="24"/>
      <c r="D92" s="63"/>
      <c r="E92" s="2" t="s">
        <v>42</v>
      </c>
      <c r="F92" s="93">
        <v>0.2</v>
      </c>
      <c r="G92" s="49"/>
      <c r="H92" s="2" t="s">
        <v>107</v>
      </c>
      <c r="I92" s="94">
        <v>4</v>
      </c>
      <c r="J92" s="49"/>
      <c r="K92" s="22"/>
      <c r="L92" s="49"/>
      <c r="M92" s="49"/>
    </row>
    <row r="93" spans="1:13" ht="12.75">
      <c r="A93" s="24"/>
      <c r="B93" s="24"/>
      <c r="C93" s="24"/>
      <c r="D93" s="49"/>
      <c r="E93" s="2"/>
      <c r="F93" s="71">
        <f>SUM(F79:F92)</f>
        <v>14.099999999999996</v>
      </c>
      <c r="G93" s="49"/>
      <c r="H93" s="2" t="s">
        <v>58</v>
      </c>
      <c r="I93" s="94">
        <v>4</v>
      </c>
      <c r="J93" s="49"/>
      <c r="K93" s="22"/>
      <c r="L93" s="49"/>
      <c r="M93" s="49"/>
    </row>
    <row r="94" spans="1:13" ht="12.75">
      <c r="A94" s="15"/>
      <c r="B94" s="22"/>
      <c r="C94" s="22"/>
      <c r="D94" s="22"/>
      <c r="E94" s="22"/>
      <c r="F94" s="22"/>
      <c r="G94" s="22"/>
      <c r="H94" s="22"/>
      <c r="I94" s="1"/>
      <c r="J94" s="1"/>
      <c r="K94" s="22"/>
      <c r="L94" s="49"/>
      <c r="M94" s="49"/>
    </row>
    <row r="95" spans="1:13" ht="12.75">
      <c r="A95" s="15"/>
      <c r="B95" s="1"/>
      <c r="C95" s="1"/>
      <c r="D95" s="1"/>
      <c r="E95" s="1"/>
      <c r="F95" s="1"/>
      <c r="G95" s="1"/>
      <c r="H95" s="1"/>
      <c r="I95" s="1"/>
      <c r="J95" s="1"/>
      <c r="K95" s="1"/>
      <c r="L95" s="49"/>
      <c r="M95" s="49"/>
    </row>
    <row r="96" spans="1:13" ht="12.75">
      <c r="A96" s="15"/>
      <c r="B96" s="1"/>
      <c r="C96" s="1"/>
      <c r="D96" s="1"/>
      <c r="E96" s="1"/>
      <c r="F96" s="1"/>
      <c r="G96" s="1"/>
      <c r="H96" s="1"/>
      <c r="I96" s="1"/>
      <c r="J96" s="1"/>
      <c r="K96" s="1"/>
      <c r="L96" s="49"/>
      <c r="M96" s="49"/>
    </row>
    <row r="97" spans="1:13" ht="15.75">
      <c r="A97" s="27" t="s">
        <v>74</v>
      </c>
      <c r="B97" s="1"/>
      <c r="C97" s="1"/>
      <c r="D97" s="1"/>
      <c r="E97" s="49"/>
      <c r="F97" s="49"/>
      <c r="G97" s="49"/>
      <c r="H97" s="49"/>
      <c r="I97" s="49"/>
      <c r="J97" s="49"/>
      <c r="K97" s="49"/>
      <c r="L97" s="49"/>
      <c r="M97" s="49"/>
    </row>
    <row r="98" spans="1:13" ht="12.75">
      <c r="A98" s="49"/>
      <c r="B98" s="49"/>
      <c r="C98" s="49"/>
      <c r="D98" s="49"/>
      <c r="E98" s="49"/>
      <c r="F98" s="49"/>
      <c r="G98" s="49"/>
      <c r="H98" s="49"/>
      <c r="I98" s="49"/>
      <c r="J98" s="49"/>
      <c r="K98" s="49"/>
      <c r="L98" s="49"/>
      <c r="M98" s="49"/>
    </row>
    <row r="99" spans="1:13" ht="12.75">
      <c r="A99" s="2" t="str">
        <f>PROPER("TITLE")</f>
        <v>Title</v>
      </c>
      <c r="B99" s="49"/>
      <c r="C99" s="95" t="s">
        <v>187</v>
      </c>
      <c r="D99" s="49"/>
      <c r="E99" s="2" t="s">
        <v>81</v>
      </c>
      <c r="F99" s="2"/>
      <c r="G99" s="49"/>
      <c r="H99" s="97">
        <v>36761</v>
      </c>
      <c r="I99" s="49"/>
      <c r="J99" s="49"/>
      <c r="K99" s="49"/>
      <c r="L99" s="49"/>
      <c r="M99" s="49"/>
    </row>
    <row r="100" spans="1:13" ht="12.75">
      <c r="A100" s="2" t="s">
        <v>173</v>
      </c>
      <c r="B100" s="49"/>
      <c r="C100" s="59" t="s">
        <v>174</v>
      </c>
      <c r="D100" s="49"/>
      <c r="E100" s="2" t="s">
        <v>82</v>
      </c>
      <c r="F100" s="2"/>
      <c r="G100" s="49"/>
      <c r="H100" s="98">
        <v>0</v>
      </c>
      <c r="I100" s="49"/>
      <c r="J100" s="49"/>
      <c r="K100" s="49"/>
      <c r="L100" s="49"/>
      <c r="M100" s="49"/>
    </row>
    <row r="101" spans="1:13" ht="12.75">
      <c r="A101" s="1"/>
      <c r="B101" s="49"/>
      <c r="C101" s="96"/>
      <c r="D101" s="49"/>
      <c r="E101" s="2" t="s">
        <v>83</v>
      </c>
      <c r="F101" s="2"/>
      <c r="G101" s="49"/>
      <c r="H101" s="102" t="s">
        <v>199</v>
      </c>
      <c r="I101" s="49"/>
      <c r="J101" s="49"/>
      <c r="K101" s="22"/>
      <c r="L101" s="49"/>
      <c r="M101" s="49"/>
    </row>
    <row r="102" spans="1:13" ht="12.75">
      <c r="A102" s="2" t="s">
        <v>76</v>
      </c>
      <c r="B102" s="49"/>
      <c r="C102" s="59" t="s">
        <v>198</v>
      </c>
      <c r="D102" s="49"/>
      <c r="E102" s="2" t="s">
        <v>84</v>
      </c>
      <c r="F102" s="2"/>
      <c r="G102" s="49" t="s">
        <v>75</v>
      </c>
      <c r="H102" s="98" t="s">
        <v>208</v>
      </c>
      <c r="I102" s="49"/>
      <c r="J102" s="49"/>
      <c r="K102" s="22"/>
      <c r="L102" s="49"/>
      <c r="M102" s="49"/>
    </row>
    <row r="103" spans="1:13" ht="12.75">
      <c r="A103" s="2" t="s">
        <v>77</v>
      </c>
      <c r="B103" s="49"/>
      <c r="C103" s="97">
        <v>37856</v>
      </c>
      <c r="D103" s="49"/>
      <c r="E103" s="2" t="s">
        <v>85</v>
      </c>
      <c r="F103" s="2"/>
      <c r="G103" s="49"/>
      <c r="H103" s="98" t="s">
        <v>200</v>
      </c>
      <c r="I103" s="49"/>
      <c r="J103" s="49"/>
      <c r="K103" s="22"/>
      <c r="L103" s="49"/>
      <c r="M103" s="49"/>
    </row>
    <row r="104" spans="1:13" ht="12.75">
      <c r="A104" s="2" t="s">
        <v>78</v>
      </c>
      <c r="B104" s="49"/>
      <c r="C104" s="59"/>
      <c r="D104" s="49"/>
      <c r="E104" s="1"/>
      <c r="F104" s="1"/>
      <c r="G104" s="49"/>
      <c r="H104" s="59"/>
      <c r="I104" s="49"/>
      <c r="J104" s="49"/>
      <c r="K104" s="22"/>
      <c r="L104" s="49"/>
      <c r="M104" s="49"/>
    </row>
    <row r="105" spans="1:13" ht="12.75">
      <c r="A105" s="2" t="s">
        <v>79</v>
      </c>
      <c r="B105" s="49"/>
      <c r="C105" s="59"/>
      <c r="D105" s="49"/>
      <c r="E105" s="1"/>
      <c r="F105" s="2"/>
      <c r="G105" s="49"/>
      <c r="H105" s="59"/>
      <c r="I105" s="57"/>
      <c r="J105" s="49"/>
      <c r="K105" s="22"/>
      <c r="L105" s="49"/>
      <c r="M105" s="49"/>
    </row>
    <row r="106" spans="1:13" ht="12.75">
      <c r="A106" s="2" t="s">
        <v>80</v>
      </c>
      <c r="B106" s="49"/>
      <c r="C106" s="59"/>
      <c r="D106" s="49"/>
      <c r="E106" s="49"/>
      <c r="F106" s="37"/>
      <c r="G106" s="49"/>
      <c r="H106" s="59"/>
      <c r="I106" s="57"/>
      <c r="J106" s="49"/>
      <c r="K106" s="22"/>
      <c r="L106" s="49"/>
      <c r="M106" s="49"/>
    </row>
    <row r="107" spans="1:13" ht="12.75">
      <c r="A107" s="1"/>
      <c r="B107" s="49"/>
      <c r="C107" s="49"/>
      <c r="D107" s="49"/>
      <c r="E107" s="49"/>
      <c r="F107" s="49"/>
      <c r="G107" s="49"/>
      <c r="H107" s="49"/>
      <c r="I107" s="57"/>
      <c r="J107" s="49"/>
      <c r="K107" s="22"/>
      <c r="L107" s="49"/>
      <c r="M107" s="49"/>
    </row>
    <row r="108" spans="1:13" ht="15.75">
      <c r="A108" s="10" t="s">
        <v>114</v>
      </c>
      <c r="B108" s="2"/>
      <c r="C108" s="38" t="s">
        <v>86</v>
      </c>
      <c r="D108" s="38" t="s">
        <v>182</v>
      </c>
      <c r="E108" s="38" t="s">
        <v>113</v>
      </c>
      <c r="F108" s="38" t="s">
        <v>180</v>
      </c>
      <c r="G108" s="38" t="s">
        <v>112</v>
      </c>
      <c r="H108" s="38" t="s">
        <v>181</v>
      </c>
      <c r="I108" s="38" t="s">
        <v>85</v>
      </c>
      <c r="J108" s="49"/>
      <c r="K108" s="22"/>
      <c r="L108" s="49"/>
      <c r="M108" s="49"/>
    </row>
    <row r="109" spans="1:13" ht="12.75">
      <c r="A109" s="1"/>
      <c r="B109" s="49"/>
      <c r="C109" s="41">
        <v>4</v>
      </c>
      <c r="D109" s="41">
        <v>9</v>
      </c>
      <c r="E109" s="41">
        <v>5</v>
      </c>
      <c r="F109" s="41">
        <v>4</v>
      </c>
      <c r="G109" s="41">
        <v>1</v>
      </c>
      <c r="H109" s="41">
        <v>2</v>
      </c>
      <c r="I109" s="41">
        <v>7</v>
      </c>
      <c r="J109" s="49"/>
      <c r="K109" s="22"/>
      <c r="L109" s="49"/>
      <c r="M109" s="49"/>
    </row>
    <row r="110" spans="1:13" ht="12.75">
      <c r="A110" s="1"/>
      <c r="B110" s="49"/>
      <c r="D110" s="57"/>
      <c r="F110" s="57"/>
      <c r="H110" s="57"/>
      <c r="I110" s="49"/>
      <c r="J110" s="54">
        <f>SUM(C109:I109)/7</f>
        <v>4.571428571428571</v>
      </c>
      <c r="K110" s="22"/>
      <c r="L110" s="49"/>
      <c r="M110" s="49"/>
    </row>
    <row r="111" spans="1:13" ht="15.75">
      <c r="A111" s="10" t="s">
        <v>160</v>
      </c>
      <c r="B111" s="1"/>
      <c r="C111" s="49"/>
      <c r="D111" s="49"/>
      <c r="E111" s="49"/>
      <c r="F111" s="49"/>
      <c r="G111" s="49"/>
      <c r="H111" s="49"/>
      <c r="I111" s="57"/>
      <c r="J111" s="49"/>
      <c r="K111" s="22"/>
      <c r="L111" s="49"/>
      <c r="M111" s="49"/>
    </row>
    <row r="112" spans="1:13" ht="15.75">
      <c r="A112" s="10"/>
      <c r="B112" s="2" t="s">
        <v>88</v>
      </c>
      <c r="C112" s="2"/>
      <c r="D112" s="41">
        <v>10</v>
      </c>
      <c r="E112" s="49"/>
      <c r="F112" s="2" t="s">
        <v>92</v>
      </c>
      <c r="G112" s="2"/>
      <c r="H112" s="74"/>
      <c r="I112" s="41">
        <v>9</v>
      </c>
      <c r="J112" s="49"/>
      <c r="K112" s="22"/>
      <c r="L112" s="49"/>
      <c r="M112" s="49"/>
    </row>
    <row r="113" spans="1:13" ht="12.75">
      <c r="A113" s="37" t="s">
        <v>154</v>
      </c>
      <c r="B113" s="2" t="s">
        <v>87</v>
      </c>
      <c r="C113" s="2"/>
      <c r="D113" s="41"/>
      <c r="E113" s="49"/>
      <c r="F113" s="2" t="s">
        <v>87</v>
      </c>
      <c r="G113" s="2"/>
      <c r="H113" s="2"/>
      <c r="I113" s="41"/>
      <c r="J113" s="49"/>
      <c r="K113" s="22"/>
      <c r="L113" s="49"/>
      <c r="M113" s="49"/>
    </row>
    <row r="114" spans="1:13" ht="12.75">
      <c r="A114" s="1"/>
      <c r="B114" s="2" t="s">
        <v>89</v>
      </c>
      <c r="C114" s="2"/>
      <c r="D114" s="41">
        <v>9</v>
      </c>
      <c r="E114" s="49"/>
      <c r="F114" s="2" t="s">
        <v>91</v>
      </c>
      <c r="G114" s="2"/>
      <c r="H114" s="2"/>
      <c r="I114" s="41">
        <v>10</v>
      </c>
      <c r="J114" s="49"/>
      <c r="K114" s="22"/>
      <c r="L114" s="49"/>
      <c r="M114" s="49"/>
    </row>
    <row r="115" spans="1:13" ht="12.75">
      <c r="A115" s="1"/>
      <c r="B115" s="2" t="s">
        <v>87</v>
      </c>
      <c r="C115" s="2"/>
      <c r="D115" s="41"/>
      <c r="E115" s="49"/>
      <c r="F115" s="2" t="s">
        <v>87</v>
      </c>
      <c r="G115" s="2"/>
      <c r="H115" s="2"/>
      <c r="I115" s="41"/>
      <c r="J115" s="49"/>
      <c r="K115" s="22"/>
      <c r="L115" s="49"/>
      <c r="M115" s="49"/>
    </row>
    <row r="116" spans="1:13" ht="12.75">
      <c r="A116" s="1"/>
      <c r="B116" s="2" t="s">
        <v>90</v>
      </c>
      <c r="C116" s="2"/>
      <c r="D116" s="41">
        <v>9</v>
      </c>
      <c r="E116" s="49"/>
      <c r="F116" s="2" t="s">
        <v>162</v>
      </c>
      <c r="G116" s="2"/>
      <c r="H116" s="2"/>
      <c r="I116" s="41">
        <v>9</v>
      </c>
      <c r="J116" s="49"/>
      <c r="K116" s="22"/>
      <c r="L116" s="49"/>
      <c r="M116" s="49"/>
    </row>
    <row r="117" spans="1:13" ht="12.75">
      <c r="A117" s="1"/>
      <c r="B117" s="49"/>
      <c r="C117" s="49"/>
      <c r="D117" s="49"/>
      <c r="E117" s="49"/>
      <c r="F117" s="49"/>
      <c r="G117" s="49"/>
      <c r="H117" s="49"/>
      <c r="I117" s="49"/>
      <c r="J117" s="49"/>
      <c r="K117" s="22"/>
      <c r="L117" s="49"/>
      <c r="M117" s="49"/>
    </row>
    <row r="118" spans="1:13" ht="12.75">
      <c r="A118" s="1"/>
      <c r="B118" s="49"/>
      <c r="C118" s="49"/>
      <c r="D118" s="49"/>
      <c r="E118" s="49"/>
      <c r="F118" s="49"/>
      <c r="G118" s="49"/>
      <c r="H118" s="49"/>
      <c r="I118" s="49"/>
      <c r="J118" s="49"/>
      <c r="K118" s="22"/>
      <c r="L118" s="49"/>
      <c r="M118" s="49"/>
    </row>
    <row r="119" spans="1:13" ht="15.75">
      <c r="A119" s="10" t="s">
        <v>153</v>
      </c>
      <c r="B119" s="2"/>
      <c r="C119" s="2"/>
      <c r="D119" s="49"/>
      <c r="E119" s="49"/>
      <c r="F119" s="49"/>
      <c r="G119" s="49"/>
      <c r="H119" s="49"/>
      <c r="I119" s="49"/>
      <c r="J119" s="49"/>
      <c r="K119" s="22"/>
      <c r="L119" s="49"/>
      <c r="M119" s="49"/>
    </row>
    <row r="120" spans="1:13" ht="12.75">
      <c r="A120" s="1"/>
      <c r="B120" s="2"/>
      <c r="C120" s="2"/>
      <c r="D120" s="49"/>
      <c r="E120" s="49"/>
      <c r="F120" s="49"/>
      <c r="G120" s="49"/>
      <c r="H120" s="49"/>
      <c r="I120" s="49"/>
      <c r="J120" s="49"/>
      <c r="K120" s="22"/>
      <c r="L120" s="49"/>
      <c r="M120" s="49"/>
    </row>
    <row r="121" spans="1:13" ht="12.75">
      <c r="A121" s="37" t="s">
        <v>154</v>
      </c>
      <c r="B121" s="83" t="s">
        <v>170</v>
      </c>
      <c r="C121" s="2" t="s">
        <v>165</v>
      </c>
      <c r="D121" s="29" t="s">
        <v>93</v>
      </c>
      <c r="E121" s="3" t="s">
        <v>18</v>
      </c>
      <c r="F121" s="3" t="s">
        <v>19</v>
      </c>
      <c r="G121" s="3" t="s">
        <v>97</v>
      </c>
      <c r="H121" s="3" t="s">
        <v>100</v>
      </c>
      <c r="I121" s="7" t="s">
        <v>94</v>
      </c>
      <c r="J121" s="7" t="s">
        <v>96</v>
      </c>
      <c r="K121" s="22"/>
      <c r="L121" s="49"/>
      <c r="M121" s="49"/>
    </row>
    <row r="122" spans="1:13" ht="12.75">
      <c r="A122" s="1"/>
      <c r="B122" s="37" t="s">
        <v>87</v>
      </c>
      <c r="C122" s="2"/>
      <c r="D122" s="41">
        <v>2</v>
      </c>
      <c r="E122" s="94">
        <v>12</v>
      </c>
      <c r="F122" s="94">
        <v>17</v>
      </c>
      <c r="G122" s="3">
        <v>10</v>
      </c>
      <c r="H122" s="3">
        <v>10.5</v>
      </c>
      <c r="I122" s="41">
        <v>9</v>
      </c>
      <c r="J122" s="3">
        <f>ROUND(J123,0)</f>
        <v>8</v>
      </c>
      <c r="K122" s="22"/>
      <c r="L122" s="54"/>
      <c r="M122" s="49"/>
    </row>
    <row r="123" spans="1:13" ht="12.75">
      <c r="A123" s="1"/>
      <c r="B123" s="37"/>
      <c r="C123" s="2"/>
      <c r="D123" s="49"/>
      <c r="E123" s="49"/>
      <c r="F123" s="54">
        <f>(F122-E122)*D122/3</f>
        <v>3.3333333333333335</v>
      </c>
      <c r="G123" s="56">
        <f>G122*2</f>
        <v>20</v>
      </c>
      <c r="H123" s="56">
        <f>H122/2.3</f>
        <v>4.565217391304349</v>
      </c>
      <c r="I123" s="49"/>
      <c r="J123" s="54">
        <f>((F122-E122)+(D122*5)+(I122+G122*2+H122))/7</f>
        <v>7.785714285714286</v>
      </c>
      <c r="K123" s="22"/>
      <c r="L123" s="56">
        <f>SUM(F123:H123)/3</f>
        <v>9.29951690821256</v>
      </c>
      <c r="M123" s="49"/>
    </row>
    <row r="124" spans="1:13" ht="12.75">
      <c r="A124" s="15"/>
      <c r="B124" s="83" t="s">
        <v>166</v>
      </c>
      <c r="C124" s="2" t="s">
        <v>167</v>
      </c>
      <c r="D124" s="29" t="s">
        <v>185</v>
      </c>
      <c r="E124" s="3" t="s">
        <v>18</v>
      </c>
      <c r="F124" s="3" t="s">
        <v>19</v>
      </c>
      <c r="G124" s="28"/>
      <c r="H124" s="28"/>
      <c r="I124" s="3"/>
      <c r="J124" s="3"/>
      <c r="K124" s="22"/>
      <c r="L124" s="54"/>
      <c r="M124" s="49"/>
    </row>
    <row r="125" spans="1:13" ht="12.75">
      <c r="A125" s="15"/>
      <c r="B125" s="37" t="s">
        <v>87</v>
      </c>
      <c r="C125" s="2"/>
      <c r="D125" s="41">
        <v>2</v>
      </c>
      <c r="E125" s="94">
        <v>18</v>
      </c>
      <c r="F125" s="94">
        <v>35</v>
      </c>
      <c r="G125" s="3">
        <v>4</v>
      </c>
      <c r="H125" s="3">
        <v>30</v>
      </c>
      <c r="I125" s="41">
        <v>10</v>
      </c>
      <c r="J125" s="3">
        <f>ROUND(J126,0)</f>
        <v>10</v>
      </c>
      <c r="K125" s="22"/>
      <c r="L125" s="54"/>
      <c r="M125" s="49"/>
    </row>
    <row r="126" spans="1:13" ht="12.75">
      <c r="A126" s="15"/>
      <c r="B126" s="37"/>
      <c r="C126" s="2"/>
      <c r="D126" s="49"/>
      <c r="E126" s="49"/>
      <c r="F126" s="54">
        <f>(F125-E125)*D125/3</f>
        <v>11.333333333333334</v>
      </c>
      <c r="G126" s="56">
        <f>G125*2</f>
        <v>8</v>
      </c>
      <c r="H126" s="56">
        <f>H125/2.3</f>
        <v>13.043478260869566</v>
      </c>
      <c r="I126" s="49"/>
      <c r="J126" s="56">
        <f>((F125-E125)+(D125*5)+(I125+G125+H125))/7</f>
        <v>10.142857142857142</v>
      </c>
      <c r="K126" s="22"/>
      <c r="L126" s="56">
        <f>SUM(F126:H126)/3</f>
        <v>10.792270531400968</v>
      </c>
      <c r="M126" s="49"/>
    </row>
    <row r="127" spans="1:13" ht="12.75">
      <c r="A127" s="15"/>
      <c r="B127" s="83" t="s">
        <v>168</v>
      </c>
      <c r="C127" s="2" t="s">
        <v>169</v>
      </c>
      <c r="D127" s="29" t="s">
        <v>185</v>
      </c>
      <c r="E127" s="3" t="s">
        <v>18</v>
      </c>
      <c r="F127" s="3" t="s">
        <v>19</v>
      </c>
      <c r="G127" s="28"/>
      <c r="H127" s="28"/>
      <c r="I127" s="28"/>
      <c r="J127" s="28"/>
      <c r="K127" s="22"/>
      <c r="L127" s="54"/>
      <c r="M127" s="49"/>
    </row>
    <row r="128" spans="1:13" ht="12.75">
      <c r="A128" s="15"/>
      <c r="B128" s="37"/>
      <c r="C128" s="2"/>
      <c r="D128" s="41">
        <v>2</v>
      </c>
      <c r="E128" s="94">
        <v>36</v>
      </c>
      <c r="F128" s="94">
        <v>50</v>
      </c>
      <c r="G128" s="3">
        <v>2</v>
      </c>
      <c r="H128" s="3">
        <v>26.5</v>
      </c>
      <c r="I128" s="41">
        <v>10</v>
      </c>
      <c r="J128" s="3">
        <f>ROUND(J129,0)</f>
        <v>9</v>
      </c>
      <c r="K128" s="22"/>
      <c r="L128" s="54"/>
      <c r="M128" s="49"/>
    </row>
    <row r="129" spans="1:13" ht="12.75">
      <c r="A129" s="15"/>
      <c r="B129" s="37"/>
      <c r="C129" s="1"/>
      <c r="D129" s="49"/>
      <c r="E129" s="49"/>
      <c r="F129" s="54">
        <f>(F128-E128)*D128/3</f>
        <v>9.333333333333334</v>
      </c>
      <c r="G129" s="56">
        <f>G128*2</f>
        <v>4</v>
      </c>
      <c r="H129" s="56">
        <f>H128/2.3</f>
        <v>11.521739130434783</v>
      </c>
      <c r="I129" s="54">
        <f>SUM(I122:I128)/3</f>
        <v>9.666666666666666</v>
      </c>
      <c r="J129" s="56">
        <f>((F128-E128)+(D128*5)+(I128+G128+H128))/7</f>
        <v>8.928571428571429</v>
      </c>
      <c r="K129" s="22"/>
      <c r="L129" s="54">
        <f>SUM(E129:H129)/3</f>
        <v>8.285024154589372</v>
      </c>
      <c r="M129" s="49"/>
    </row>
    <row r="130" spans="1:13" ht="12.75">
      <c r="A130" s="15"/>
      <c r="B130" s="83" t="s">
        <v>171</v>
      </c>
      <c r="C130" s="2" t="s">
        <v>169</v>
      </c>
      <c r="D130" s="29" t="s">
        <v>95</v>
      </c>
      <c r="E130" s="3" t="s">
        <v>18</v>
      </c>
      <c r="F130" s="3" t="s">
        <v>19</v>
      </c>
      <c r="G130" s="28"/>
      <c r="H130" s="28"/>
      <c r="I130" s="28"/>
      <c r="J130" s="28"/>
      <c r="K130" s="22"/>
      <c r="L130" s="54"/>
      <c r="M130" s="49"/>
    </row>
    <row r="131" spans="1:13" ht="12.75">
      <c r="A131" s="15"/>
      <c r="B131" s="37"/>
      <c r="C131" s="1"/>
      <c r="D131" s="41">
        <v>2</v>
      </c>
      <c r="E131" s="94">
        <v>5</v>
      </c>
      <c r="F131" s="94">
        <v>11</v>
      </c>
      <c r="G131" s="3">
        <v>5</v>
      </c>
      <c r="H131" s="3">
        <v>12</v>
      </c>
      <c r="I131" s="41">
        <v>4</v>
      </c>
      <c r="J131" s="3">
        <f>ROUND(J132,0)</f>
        <v>5</v>
      </c>
      <c r="K131" s="22"/>
      <c r="L131" s="54"/>
      <c r="M131" s="49"/>
    </row>
    <row r="132" spans="1:13" ht="12.75">
      <c r="A132" s="15"/>
      <c r="B132" s="37"/>
      <c r="C132" s="1"/>
      <c r="D132" s="57"/>
      <c r="E132" s="49"/>
      <c r="F132" s="54">
        <f>(F131-E131)*D131/3</f>
        <v>4</v>
      </c>
      <c r="G132" s="56">
        <f>G131*2</f>
        <v>10</v>
      </c>
      <c r="H132" s="56">
        <f>H131/2.3</f>
        <v>5.217391304347826</v>
      </c>
      <c r="I132" s="49"/>
      <c r="J132" s="56">
        <f>((F131-E131)+(D131*5)+(I131+G131+H131))/7</f>
        <v>5.285714285714286</v>
      </c>
      <c r="K132" s="22"/>
      <c r="L132" s="54">
        <f>SUM(F132:H132)/3</f>
        <v>6.405797101449276</v>
      </c>
      <c r="M132" s="49"/>
    </row>
    <row r="133" spans="1:13" ht="12.75">
      <c r="A133" s="15"/>
      <c r="B133" s="83" t="s">
        <v>172</v>
      </c>
      <c r="C133" s="2" t="s">
        <v>169</v>
      </c>
      <c r="D133" s="29" t="s">
        <v>186</v>
      </c>
      <c r="E133" s="3" t="s">
        <v>18</v>
      </c>
      <c r="F133" s="3" t="s">
        <v>19</v>
      </c>
      <c r="G133" s="28"/>
      <c r="H133" s="28"/>
      <c r="I133" s="28"/>
      <c r="J133" s="28"/>
      <c r="K133" s="22"/>
      <c r="L133" s="54"/>
      <c r="M133" s="49"/>
    </row>
    <row r="134" spans="1:13" ht="12.75">
      <c r="A134" s="15"/>
      <c r="B134" s="1"/>
      <c r="C134" s="1"/>
      <c r="D134" s="41">
        <v>0</v>
      </c>
      <c r="E134" s="94">
        <v>51</v>
      </c>
      <c r="F134" s="94">
        <v>70</v>
      </c>
      <c r="G134" s="3">
        <v>1</v>
      </c>
      <c r="H134" s="3">
        <v>21</v>
      </c>
      <c r="I134" s="41">
        <v>0</v>
      </c>
      <c r="J134" s="3">
        <f>ROUND(J135,0)</f>
        <v>3</v>
      </c>
      <c r="K134" s="22"/>
      <c r="L134" s="54"/>
      <c r="M134" s="49"/>
    </row>
    <row r="135" spans="1:13" ht="12.75">
      <c r="A135" s="15"/>
      <c r="B135" s="49"/>
      <c r="C135" s="49"/>
      <c r="D135" s="49"/>
      <c r="E135" s="49"/>
      <c r="F135" s="49"/>
      <c r="G135" s="54">
        <f>(F134-E134)*D134/3</f>
        <v>0</v>
      </c>
      <c r="H135" s="56">
        <f>G134*2</f>
        <v>2</v>
      </c>
      <c r="I135" s="54">
        <f>H134/2.3</f>
        <v>9.130434782608697</v>
      </c>
      <c r="J135" s="54">
        <f>((F134-E134)+(D134*5)+(I134+G134+H134))/14</f>
        <v>2.9285714285714284</v>
      </c>
      <c r="K135" s="31">
        <f>((F134-E134)*D134+(I134+G134+H134))/7</f>
        <v>3.142857142857143</v>
      </c>
      <c r="L135" s="54">
        <f>SUM(G135:I135)/3</f>
        <v>3.7101449275362324</v>
      </c>
      <c r="M135" s="49"/>
    </row>
    <row r="136" spans="1:13" ht="12.75">
      <c r="A136" s="15"/>
      <c r="B136" s="1"/>
      <c r="C136" s="1"/>
      <c r="D136" s="1"/>
      <c r="E136" s="1"/>
      <c r="F136" s="1"/>
      <c r="G136" s="1"/>
      <c r="H136" s="1"/>
      <c r="I136" s="1"/>
      <c r="J136" s="1"/>
      <c r="K136" s="22"/>
      <c r="L136" s="54"/>
      <c r="M136" s="49"/>
    </row>
    <row r="137" spans="1:13" ht="12.75">
      <c r="A137" s="15"/>
      <c r="B137" s="1"/>
      <c r="C137" s="37" t="s">
        <v>154</v>
      </c>
      <c r="D137" s="1"/>
      <c r="E137" s="1"/>
      <c r="F137" s="1"/>
      <c r="G137" s="1"/>
      <c r="H137" s="1"/>
      <c r="I137" s="1"/>
      <c r="J137" s="1"/>
      <c r="K137" s="22"/>
      <c r="L137" s="49"/>
      <c r="M137" s="49"/>
    </row>
    <row r="138" spans="1:13" ht="12.75">
      <c r="A138" s="15"/>
      <c r="B138" s="1"/>
      <c r="C138" s="1"/>
      <c r="D138" s="1"/>
      <c r="E138" s="1"/>
      <c r="F138" s="1"/>
      <c r="G138" s="1"/>
      <c r="H138" s="1"/>
      <c r="I138" s="1" t="s">
        <v>154</v>
      </c>
      <c r="J138" s="1"/>
      <c r="K138" s="22"/>
      <c r="L138" s="49"/>
      <c r="M138" s="49"/>
    </row>
    <row r="139" spans="1:13" ht="12.75">
      <c r="A139" s="22"/>
      <c r="B139" s="22"/>
      <c r="C139" s="22"/>
      <c r="D139" s="22"/>
      <c r="E139" s="1"/>
      <c r="F139" s="1"/>
      <c r="G139" s="1"/>
      <c r="H139" s="1"/>
      <c r="I139" s="1"/>
      <c r="J139" s="1"/>
      <c r="K139" s="1"/>
      <c r="L139" s="49"/>
      <c r="M139" s="49"/>
    </row>
    <row r="140" spans="1:13" ht="12.75">
      <c r="A140" s="49"/>
      <c r="B140" s="49"/>
      <c r="C140" s="49"/>
      <c r="D140" s="49"/>
      <c r="E140" s="49"/>
      <c r="F140" s="49"/>
      <c r="G140" s="49"/>
      <c r="H140" s="49"/>
      <c r="I140" s="49"/>
      <c r="J140" s="49"/>
      <c r="K140" s="49"/>
      <c r="L140" s="49"/>
      <c r="M140" s="49"/>
    </row>
    <row r="141" spans="1:13" ht="12.75">
      <c r="A141" s="49"/>
      <c r="B141" s="49"/>
      <c r="C141" s="49"/>
      <c r="D141" s="49"/>
      <c r="E141" s="49"/>
      <c r="F141" s="49"/>
      <c r="G141" s="49"/>
      <c r="H141" s="49"/>
      <c r="I141" s="49"/>
      <c r="J141" s="49"/>
      <c r="K141" s="49"/>
      <c r="L141" s="49"/>
      <c r="M141" s="49"/>
    </row>
    <row r="142" spans="1:13" ht="12.75">
      <c r="A142" s="49"/>
      <c r="B142" s="49"/>
      <c r="C142" s="49"/>
      <c r="D142" s="49"/>
      <c r="E142" s="49"/>
      <c r="F142" s="49"/>
      <c r="G142" s="49"/>
      <c r="H142" s="49"/>
      <c r="I142" s="49"/>
      <c r="J142" s="49"/>
      <c r="K142" s="49"/>
      <c r="L142" s="49"/>
      <c r="M142" s="49"/>
    </row>
    <row r="143" spans="1:13" ht="12.75">
      <c r="A143" s="49"/>
      <c r="B143" s="49"/>
      <c r="C143" s="49"/>
      <c r="D143" s="49"/>
      <c r="E143" s="49"/>
      <c r="F143" s="49"/>
      <c r="G143" s="49"/>
      <c r="H143" s="49"/>
      <c r="I143" s="49"/>
      <c r="J143" s="49"/>
      <c r="K143" s="49"/>
      <c r="L143" s="49"/>
      <c r="M143" s="49"/>
    </row>
    <row r="144" spans="1:13" ht="12.75">
      <c r="A144" s="49"/>
      <c r="B144" s="49"/>
      <c r="C144" s="49"/>
      <c r="D144" s="49"/>
      <c r="E144" s="49"/>
      <c r="F144" s="49"/>
      <c r="G144" s="49"/>
      <c r="H144" s="49"/>
      <c r="I144" s="49"/>
      <c r="J144" s="49"/>
      <c r="K144" s="49"/>
      <c r="L144" s="49"/>
      <c r="M144" s="49"/>
    </row>
  </sheetData>
  <hyperlinks>
    <hyperlink ref="E73" r:id="rId1" display="http://www.quicksummer.com/exceldoc/Projections_in_504/resonaceactivityprojectionsJune.xls"/>
    <hyperlink ref="E74" r:id="rId2" display="http://www.quicksummer.com/exceldoc/Projections_in_504/resonacecashflowprojectionsJune.xls"/>
  </hyperlinks>
  <printOptions/>
  <pageMargins left="0.75" right="0.75" top="1" bottom="1" header="0.5" footer="0.5"/>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Shawshank Redemption, The (1994)</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